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mru\Kuli'ah\Medeologi penelitian (skripsian)\Data\"/>
    </mc:Choice>
  </mc:AlternateContent>
  <xr:revisionPtr revIDLastSave="0" documentId="13_ncr:1_{2E044F56-2DA6-47B9-ABAC-8E4E5EA40CF8}" xr6:coauthVersionLast="47" xr6:coauthVersionMax="47" xr10:uidLastSave="{00000000-0000-0000-0000-000000000000}"/>
  <bookViews>
    <workbookView xWindow="-110" yWindow="-110" windowWidth="19420" windowHeight="10300" activeTab="4" xr2:uid="{92CE77F4-D7C6-452F-A8A6-5CD7AFB0A6F2}"/>
  </bookViews>
  <sheets>
    <sheet name="1 Kitir " sheetId="1" r:id="rId1"/>
    <sheet name="allowance" sheetId="6" r:id="rId2"/>
    <sheet name="Rekap" sheetId="4" r:id="rId3"/>
    <sheet name="Grafik" sheetId="3" r:id="rId4"/>
    <sheet name="Takt Time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E2" i="5"/>
  <c r="B13" i="5"/>
  <c r="D2" i="5"/>
  <c r="B3" i="5"/>
  <c r="B12" i="5"/>
  <c r="AI19" i="3"/>
  <c r="AO18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O17" i="3"/>
  <c r="AR17" i="3"/>
  <c r="AR18" i="3"/>
  <c r="AR19" i="3"/>
  <c r="AS19" i="3" s="1"/>
  <c r="I6" i="1"/>
  <c r="S6" i="1"/>
  <c r="AC6" i="1"/>
  <c r="AM6" i="1"/>
  <c r="AY6" i="1"/>
  <c r="AR26" i="1"/>
  <c r="D9" i="6"/>
  <c r="D4" i="6"/>
  <c r="D5" i="6"/>
  <c r="D6" i="6"/>
  <c r="D7" i="6"/>
  <c r="D8" i="6"/>
  <c r="D3" i="6"/>
  <c r="C9" i="6"/>
  <c r="H3" i="6"/>
  <c r="B9" i="6"/>
  <c r="C3" i="1"/>
  <c r="G3" i="1"/>
  <c r="BA22" i="1"/>
  <c r="D33" i="1"/>
  <c r="I3" i="1" l="1"/>
  <c r="O8" i="5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3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E4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3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D3" i="1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4" i="3"/>
  <c r="AV18" i="1"/>
  <c r="AU18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3" i="1"/>
  <c r="C17" i="1" l="1"/>
  <c r="C16" i="1"/>
  <c r="G16" i="1"/>
  <c r="C15" i="1"/>
  <c r="C14" i="1"/>
  <c r="C13" i="1"/>
  <c r="C12" i="1"/>
  <c r="C11" i="1"/>
  <c r="C10" i="1"/>
  <c r="C9" i="1"/>
  <c r="C8" i="1"/>
  <c r="C7" i="1"/>
  <c r="C6" i="1"/>
  <c r="C5" i="1"/>
  <c r="C4" i="1"/>
  <c r="G4" i="1"/>
  <c r="G17" i="1"/>
  <c r="G15" i="1"/>
  <c r="G14" i="1"/>
  <c r="G13" i="1"/>
  <c r="G12" i="1"/>
  <c r="G11" i="1"/>
  <c r="G10" i="1"/>
  <c r="G9" i="1"/>
  <c r="G8" i="1"/>
  <c r="G7" i="1"/>
  <c r="G6" i="1"/>
  <c r="G5" i="1"/>
  <c r="B11" i="5" l="1"/>
  <c r="B14" i="5"/>
  <c r="D3" i="1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4" i="3"/>
  <c r="K19" i="3" l="1"/>
  <c r="S19" i="3"/>
  <c r="C19" i="3"/>
  <c r="X6" i="1" l="1"/>
  <c r="AG17" i="1"/>
  <c r="AA18" i="3" s="1"/>
  <c r="AG16" i="1"/>
  <c r="AA17" i="3" s="1"/>
  <c r="AG15" i="1"/>
  <c r="AG14" i="1"/>
  <c r="AG13" i="1"/>
  <c r="AA14" i="3" s="1"/>
  <c r="AG12" i="1"/>
  <c r="AA13" i="3" s="1"/>
  <c r="AG11" i="1"/>
  <c r="AG10" i="1"/>
  <c r="AA11" i="3" s="1"/>
  <c r="AG9" i="1"/>
  <c r="AA10" i="3" s="1"/>
  <c r="AG8" i="1"/>
  <c r="AA9" i="3" s="1"/>
  <c r="AG7" i="1"/>
  <c r="AG6" i="1"/>
  <c r="AA7" i="3" s="1"/>
  <c r="AG5" i="1"/>
  <c r="AG4" i="1"/>
  <c r="AA5" i="3" s="1"/>
  <c r="AG3" i="1"/>
  <c r="AQ17" i="1"/>
  <c r="AQ16" i="1"/>
  <c r="AQ15" i="1"/>
  <c r="AQ14" i="1"/>
  <c r="AI15" i="3" s="1"/>
  <c r="AQ13" i="1"/>
  <c r="AI14" i="3" s="1"/>
  <c r="AQ12" i="1"/>
  <c r="AQ11" i="1"/>
  <c r="AI12" i="3" s="1"/>
  <c r="AQ10" i="1"/>
  <c r="AI11" i="3" s="1"/>
  <c r="AQ9" i="1"/>
  <c r="AI10" i="3" s="1"/>
  <c r="AQ8" i="1"/>
  <c r="AQ7" i="1"/>
  <c r="AI8" i="3" s="1"/>
  <c r="AQ6" i="1"/>
  <c r="AI7" i="3" s="1"/>
  <c r="AQ5" i="1"/>
  <c r="AI6" i="3" s="1"/>
  <c r="AQ4" i="1"/>
  <c r="AQ3" i="1"/>
  <c r="AI4" i="3" s="1"/>
  <c r="AR14" i="1"/>
  <c r="AR11" i="1"/>
  <c r="AR10" i="1"/>
  <c r="AR7" i="1"/>
  <c r="AY3" i="1"/>
  <c r="AH12" i="1"/>
  <c r="AH4" i="1"/>
  <c r="AH8" i="1"/>
  <c r="AM3" i="1"/>
  <c r="X17" i="1"/>
  <c r="X16" i="1"/>
  <c r="X15" i="1"/>
  <c r="X14" i="1"/>
  <c r="X13" i="1"/>
  <c r="X12" i="1"/>
  <c r="X11" i="1"/>
  <c r="X10" i="1"/>
  <c r="X9" i="1"/>
  <c r="X8" i="1"/>
  <c r="X7" i="1"/>
  <c r="X5" i="1"/>
  <c r="X4" i="1"/>
  <c r="AC3" i="1"/>
  <c r="X3" i="1"/>
  <c r="N6" i="1"/>
  <c r="N5" i="1"/>
  <c r="N4" i="1"/>
  <c r="S3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AH6" i="1" l="1"/>
  <c r="AH16" i="1"/>
  <c r="AR6" i="1"/>
  <c r="AR13" i="1"/>
  <c r="AH17" i="1"/>
  <c r="AR16" i="1"/>
  <c r="AI17" i="3"/>
  <c r="AH5" i="1"/>
  <c r="AA6" i="3"/>
  <c r="AR4" i="1"/>
  <c r="AI5" i="3"/>
  <c r="AR8" i="1"/>
  <c r="AI9" i="3"/>
  <c r="AH9" i="1"/>
  <c r="AR5" i="1"/>
  <c r="AH3" i="1"/>
  <c r="AA4" i="3"/>
  <c r="AH7" i="1"/>
  <c r="AA8" i="3"/>
  <c r="AH11" i="1"/>
  <c r="AA12" i="3"/>
  <c r="AH15" i="1"/>
  <c r="AA16" i="3"/>
  <c r="AR12" i="1"/>
  <c r="AI13" i="3"/>
  <c r="AH13" i="1"/>
  <c r="AR9" i="1"/>
  <c r="AR17" i="1"/>
  <c r="AI18" i="3"/>
  <c r="AH14" i="1"/>
  <c r="AA15" i="3"/>
  <c r="AH10" i="1"/>
  <c r="AR15" i="1"/>
  <c r="AI16" i="3"/>
  <c r="N9" i="1"/>
  <c r="N8" i="1"/>
  <c r="N10" i="1"/>
  <c r="AG18" i="1"/>
  <c r="AQ18" i="1"/>
  <c r="AS18" i="1" s="1"/>
  <c r="AR3" i="1"/>
  <c r="AH18" i="1"/>
  <c r="X18" i="1"/>
  <c r="W18" i="1"/>
  <c r="C18" i="1"/>
  <c r="N3" i="1"/>
  <c r="D18" i="1"/>
  <c r="E18" i="1" l="1"/>
  <c r="F18" i="1"/>
  <c r="D21" i="1" s="1"/>
  <c r="AR18" i="1"/>
  <c r="AR20" i="1" s="1"/>
  <c r="AA19" i="3"/>
  <c r="N14" i="1"/>
  <c r="N12" i="1"/>
  <c r="N13" i="1"/>
  <c r="AT18" i="1"/>
  <c r="AR21" i="1" s="1"/>
  <c r="D20" i="1"/>
  <c r="D24" i="1"/>
  <c r="AR24" i="1"/>
  <c r="AJ18" i="1"/>
  <c r="AI18" i="1"/>
  <c r="AH20" i="1" s="1"/>
  <c r="AH24" i="1"/>
  <c r="Z18" i="1"/>
  <c r="X24" i="1"/>
  <c r="Y18" i="1"/>
  <c r="X20" i="1" s="1"/>
  <c r="C4" i="4" l="1"/>
  <c r="D22" i="1"/>
  <c r="D5" i="3" s="1"/>
  <c r="D23" i="1"/>
  <c r="E15" i="3" s="1"/>
  <c r="AR23" i="1"/>
  <c r="C8" i="4"/>
  <c r="AH25" i="1"/>
  <c r="AD7" i="3"/>
  <c r="AD11" i="3"/>
  <c r="AD15" i="3"/>
  <c r="F7" i="4"/>
  <c r="AD8" i="3"/>
  <c r="AD12" i="3"/>
  <c r="AD16" i="3"/>
  <c r="AD5" i="3"/>
  <c r="AD9" i="3"/>
  <c r="AD13" i="3"/>
  <c r="AD17" i="3"/>
  <c r="AD4" i="3"/>
  <c r="AD10" i="3"/>
  <c r="AD18" i="3"/>
  <c r="AD6" i="3"/>
  <c r="AD14" i="3"/>
  <c r="AR25" i="1"/>
  <c r="AL6" i="3"/>
  <c r="AL10" i="3"/>
  <c r="AL14" i="3"/>
  <c r="AL18" i="3"/>
  <c r="AL5" i="3"/>
  <c r="AL7" i="3"/>
  <c r="AL11" i="3"/>
  <c r="AL15" i="3"/>
  <c r="AL9" i="3"/>
  <c r="AL8" i="3"/>
  <c r="AL12" i="3"/>
  <c r="AL16" i="3"/>
  <c r="AL4" i="3"/>
  <c r="F8" i="4"/>
  <c r="AL13" i="3"/>
  <c r="AL17" i="3"/>
  <c r="X25" i="1"/>
  <c r="V8" i="3"/>
  <c r="V12" i="3"/>
  <c r="V16" i="3"/>
  <c r="V5" i="3"/>
  <c r="V9" i="3"/>
  <c r="V13" i="3"/>
  <c r="V17" i="3"/>
  <c r="V4" i="3"/>
  <c r="F6" i="4"/>
  <c r="V6" i="3"/>
  <c r="V10" i="3"/>
  <c r="V14" i="3"/>
  <c r="V18" i="3"/>
  <c r="V11" i="3"/>
  <c r="V15" i="3"/>
  <c r="V7" i="3"/>
  <c r="D25" i="1"/>
  <c r="F6" i="3"/>
  <c r="F10" i="3"/>
  <c r="F14" i="3"/>
  <c r="F18" i="3"/>
  <c r="F7" i="3"/>
  <c r="F11" i="3"/>
  <c r="F15" i="3"/>
  <c r="F4" i="3"/>
  <c r="F4" i="4"/>
  <c r="F8" i="3"/>
  <c r="F12" i="3"/>
  <c r="F16" i="3"/>
  <c r="F5" i="3"/>
  <c r="F9" i="3"/>
  <c r="F13" i="3"/>
  <c r="F17" i="3"/>
  <c r="E11" i="3"/>
  <c r="E12" i="3"/>
  <c r="E13" i="3"/>
  <c r="E10" i="3"/>
  <c r="D8" i="3"/>
  <c r="D9" i="3"/>
  <c r="D18" i="3"/>
  <c r="D11" i="3"/>
  <c r="N16" i="1"/>
  <c r="N17" i="1"/>
  <c r="N7" i="1"/>
  <c r="AR22" i="1"/>
  <c r="AH21" i="1"/>
  <c r="X21" i="1"/>
  <c r="E9" i="3" l="1"/>
  <c r="E8" i="3"/>
  <c r="D10" i="3"/>
  <c r="E18" i="3"/>
  <c r="E4" i="4"/>
  <c r="E5" i="3"/>
  <c r="E4" i="3"/>
  <c r="E6" i="3"/>
  <c r="E7" i="3"/>
  <c r="D4" i="3"/>
  <c r="D17" i="3"/>
  <c r="E14" i="3"/>
  <c r="E17" i="3"/>
  <c r="E16" i="3"/>
  <c r="D16" i="3"/>
  <c r="X26" i="1"/>
  <c r="W7" i="3"/>
  <c r="W11" i="3"/>
  <c r="W15" i="3"/>
  <c r="W4" i="3"/>
  <c r="W8" i="3"/>
  <c r="W12" i="3"/>
  <c r="W16" i="3"/>
  <c r="G6" i="4"/>
  <c r="W5" i="3"/>
  <c r="W9" i="3"/>
  <c r="W13" i="3"/>
  <c r="W17" i="3"/>
  <c r="W6" i="3"/>
  <c r="W10" i="3"/>
  <c r="W14" i="3"/>
  <c r="W18" i="3"/>
  <c r="AK7" i="3"/>
  <c r="AK11" i="3"/>
  <c r="AK15" i="3"/>
  <c r="AK4" i="3"/>
  <c r="AK8" i="3"/>
  <c r="AK12" i="3"/>
  <c r="AK16" i="3"/>
  <c r="AK6" i="3"/>
  <c r="AK5" i="3"/>
  <c r="AK9" i="3"/>
  <c r="AK13" i="3"/>
  <c r="AK17" i="3"/>
  <c r="AK10" i="3"/>
  <c r="AK14" i="3"/>
  <c r="E8" i="4"/>
  <c r="AK18" i="3"/>
  <c r="X23" i="1"/>
  <c r="C6" i="4"/>
  <c r="D15" i="3"/>
  <c r="D14" i="3"/>
  <c r="D13" i="3"/>
  <c r="D12" i="3"/>
  <c r="AM5" i="3"/>
  <c r="AM9" i="3"/>
  <c r="AM13" i="3"/>
  <c r="AM17" i="3"/>
  <c r="AM8" i="3"/>
  <c r="AM6" i="3"/>
  <c r="AM10" i="3"/>
  <c r="AM14" i="3"/>
  <c r="AM18" i="3"/>
  <c r="AM7" i="3"/>
  <c r="AM11" i="3"/>
  <c r="AM15" i="3"/>
  <c r="AM4" i="3"/>
  <c r="AM12" i="3"/>
  <c r="G8" i="4"/>
  <c r="AM16" i="3"/>
  <c r="AH22" i="1"/>
  <c r="C7" i="4"/>
  <c r="AH26" i="1"/>
  <c r="AE6" i="3"/>
  <c r="AE10" i="3"/>
  <c r="AE14" i="3"/>
  <c r="AE18" i="3"/>
  <c r="G7" i="4"/>
  <c r="AE7" i="3"/>
  <c r="AE11" i="3"/>
  <c r="AE15" i="3"/>
  <c r="AE4" i="3"/>
  <c r="AE8" i="3"/>
  <c r="AE12" i="3"/>
  <c r="AE16" i="3"/>
  <c r="AE13" i="3"/>
  <c r="AE5" i="3"/>
  <c r="AE17" i="3"/>
  <c r="AE9" i="3"/>
  <c r="AJ8" i="3"/>
  <c r="AJ12" i="3"/>
  <c r="AJ16" i="3"/>
  <c r="AJ7" i="3"/>
  <c r="AJ11" i="3"/>
  <c r="AJ5" i="3"/>
  <c r="AJ9" i="3"/>
  <c r="AJ13" i="3"/>
  <c r="AJ17" i="3"/>
  <c r="AJ4" i="3"/>
  <c r="AJ6" i="3"/>
  <c r="AJ10" i="3"/>
  <c r="AJ14" i="3"/>
  <c r="AJ18" i="3"/>
  <c r="D8" i="4"/>
  <c r="AJ15" i="3"/>
  <c r="D4" i="4"/>
  <c r="D7" i="3"/>
  <c r="D6" i="3"/>
  <c r="D26" i="1"/>
  <c r="G5" i="3"/>
  <c r="G9" i="3"/>
  <c r="G13" i="3"/>
  <c r="G17" i="3"/>
  <c r="G4" i="4"/>
  <c r="G6" i="3"/>
  <c r="G10" i="3"/>
  <c r="G14" i="3"/>
  <c r="G18" i="3"/>
  <c r="G7" i="3"/>
  <c r="G11" i="3"/>
  <c r="G15" i="3"/>
  <c r="G4" i="3"/>
  <c r="G8" i="3"/>
  <c r="G12" i="3"/>
  <c r="G16" i="3"/>
  <c r="AH23" i="1"/>
  <c r="X22" i="1"/>
  <c r="H6" i="3" l="1"/>
  <c r="H10" i="3"/>
  <c r="H14" i="3"/>
  <c r="H18" i="3"/>
  <c r="H4" i="3"/>
  <c r="H8" i="3"/>
  <c r="H12" i="3"/>
  <c r="H16" i="3"/>
  <c r="H5" i="3"/>
  <c r="H9" i="3"/>
  <c r="H13" i="3"/>
  <c r="H17" i="3"/>
  <c r="H7" i="3"/>
  <c r="H11" i="3"/>
  <c r="H15" i="3"/>
  <c r="U5" i="3"/>
  <c r="U9" i="3"/>
  <c r="U13" i="3"/>
  <c r="U17" i="3"/>
  <c r="U6" i="3"/>
  <c r="U10" i="3"/>
  <c r="U14" i="3"/>
  <c r="U18" i="3"/>
  <c r="E6" i="4"/>
  <c r="U7" i="3"/>
  <c r="U11" i="3"/>
  <c r="U15" i="3"/>
  <c r="U4" i="3"/>
  <c r="U8" i="3"/>
  <c r="U12" i="3"/>
  <c r="U16" i="3"/>
  <c r="T6" i="3"/>
  <c r="T10" i="3"/>
  <c r="T14" i="3"/>
  <c r="T18" i="3"/>
  <c r="T7" i="3"/>
  <c r="T11" i="3"/>
  <c r="T15" i="3"/>
  <c r="D6" i="4"/>
  <c r="T8" i="3"/>
  <c r="T12" i="3"/>
  <c r="T16" i="3"/>
  <c r="T4" i="3"/>
  <c r="T5" i="3"/>
  <c r="T17" i="3"/>
  <c r="T9" i="3"/>
  <c r="T13" i="3"/>
  <c r="AB5" i="3"/>
  <c r="AB9" i="3"/>
  <c r="AB13" i="3"/>
  <c r="AB17" i="3"/>
  <c r="AB4" i="3"/>
  <c r="D7" i="4"/>
  <c r="AB6" i="3"/>
  <c r="AB10" i="3"/>
  <c r="AB14" i="3"/>
  <c r="AB18" i="3"/>
  <c r="AB7" i="3"/>
  <c r="AB11" i="3"/>
  <c r="AB15" i="3"/>
  <c r="AB12" i="3"/>
  <c r="AB16" i="3"/>
  <c r="AB8" i="3"/>
  <c r="Y26" i="1"/>
  <c r="H6" i="4"/>
  <c r="AI26" i="1"/>
  <c r="H7" i="4"/>
  <c r="AC8" i="3"/>
  <c r="AC12" i="3"/>
  <c r="AC16" i="3"/>
  <c r="E7" i="4"/>
  <c r="AC5" i="3"/>
  <c r="AC9" i="3"/>
  <c r="AC13" i="3"/>
  <c r="AC17" i="3"/>
  <c r="AC6" i="3"/>
  <c r="AC10" i="3"/>
  <c r="AC14" i="3"/>
  <c r="AC18" i="3"/>
  <c r="AC7" i="3"/>
  <c r="AC11" i="3"/>
  <c r="AC15" i="3"/>
  <c r="AC4" i="3"/>
  <c r="AS26" i="1"/>
  <c r="H8" i="4"/>
  <c r="E26" i="1"/>
  <c r="H4" i="4"/>
  <c r="N11" i="1"/>
  <c r="M18" i="1" s="1"/>
  <c r="N15" i="1" l="1"/>
  <c r="N18" i="1" l="1"/>
  <c r="N24" i="1"/>
  <c r="O18" i="1"/>
  <c r="P18" i="1"/>
  <c r="N25" i="1" l="1"/>
  <c r="N7" i="3"/>
  <c r="N11" i="3"/>
  <c r="N15" i="3"/>
  <c r="N4" i="3"/>
  <c r="N6" i="3"/>
  <c r="N10" i="3"/>
  <c r="N14" i="3"/>
  <c r="N18" i="3"/>
  <c r="N5" i="3"/>
  <c r="N9" i="3"/>
  <c r="N13" i="3"/>
  <c r="N17" i="3"/>
  <c r="F5" i="4"/>
  <c r="N8" i="3"/>
  <c r="N12" i="3"/>
  <c r="N16" i="3"/>
  <c r="N20" i="1"/>
  <c r="N21" i="1"/>
  <c r="C5" i="4" l="1"/>
  <c r="O8" i="3"/>
  <c r="O12" i="3"/>
  <c r="O16" i="3"/>
  <c r="O7" i="3"/>
  <c r="O11" i="3"/>
  <c r="O15" i="3"/>
  <c r="G5" i="4"/>
  <c r="O6" i="3"/>
  <c r="O10" i="3"/>
  <c r="O14" i="3"/>
  <c r="O18" i="3"/>
  <c r="O13" i="3"/>
  <c r="O4" i="3"/>
  <c r="O9" i="3"/>
  <c r="O5" i="3"/>
  <c r="O17" i="3"/>
  <c r="N26" i="1"/>
  <c r="N22" i="1"/>
  <c r="N23" i="1"/>
  <c r="H5" i="4" l="1"/>
  <c r="O26" i="1"/>
  <c r="M6" i="3"/>
  <c r="M10" i="3"/>
  <c r="M14" i="3"/>
  <c r="M18" i="3"/>
  <c r="M5" i="3"/>
  <c r="M9" i="3"/>
  <c r="M13" i="3"/>
  <c r="M17" i="3"/>
  <c r="M4" i="3"/>
  <c r="E5" i="4"/>
  <c r="M8" i="3"/>
  <c r="M12" i="3"/>
  <c r="M16" i="3"/>
  <c r="M15" i="3"/>
  <c r="M11" i="3"/>
  <c r="M7" i="3"/>
  <c r="L7" i="3"/>
  <c r="L11" i="3"/>
  <c r="L15" i="3"/>
  <c r="L4" i="3"/>
  <c r="D5" i="4"/>
  <c r="L8" i="3"/>
  <c r="L12" i="3"/>
  <c r="L16" i="3"/>
  <c r="L5" i="3"/>
  <c r="L9" i="3"/>
  <c r="L13" i="3"/>
  <c r="L17" i="3"/>
  <c r="L18" i="3"/>
  <c r="L14" i="3"/>
  <c r="L6" i="3"/>
  <c r="L10" i="3"/>
</calcChain>
</file>

<file path=xl/sharedStrings.xml><?xml version="1.0" encoding="utf-8"?>
<sst xmlns="http://schemas.openxmlformats.org/spreadsheetml/2006/main" count="174" uniqueCount="64">
  <si>
    <t>Pencarian Barang</t>
  </si>
  <si>
    <t>X^2</t>
  </si>
  <si>
    <r>
      <t>(</t>
    </r>
    <r>
      <rPr>
        <sz val="11"/>
        <color theme="1"/>
        <rFont val="Calibri"/>
        <family val="2"/>
      </rPr>
      <t>∑x)^2</t>
    </r>
  </si>
  <si>
    <t>Total</t>
  </si>
  <si>
    <t>kecukupan data</t>
  </si>
  <si>
    <t>standar deviasi</t>
  </si>
  <si>
    <t>BKA</t>
  </si>
  <si>
    <t>BKB</t>
  </si>
  <si>
    <t>WS</t>
  </si>
  <si>
    <t>WN</t>
  </si>
  <si>
    <t>WB</t>
  </si>
  <si>
    <t>PR</t>
  </si>
  <si>
    <t>k</t>
  </si>
  <si>
    <t>s</t>
  </si>
  <si>
    <t>allowance</t>
  </si>
  <si>
    <t>Pembongkaran barang</t>
  </si>
  <si>
    <t>Pemindahan ke transit</t>
  </si>
  <si>
    <r>
      <t>(</t>
    </r>
    <r>
      <rPr>
        <sz val="11"/>
        <color theme="1"/>
        <rFont val="Times New Roman"/>
        <family val="1"/>
      </rPr>
      <t>∑x)^2</t>
    </r>
  </si>
  <si>
    <t>QC sebelum naik ke armada</t>
  </si>
  <si>
    <t>Loading ke atas truck</t>
  </si>
  <si>
    <t>Jobdesc</t>
  </si>
  <si>
    <t>Standar Deviasi</t>
  </si>
  <si>
    <t>Hasil Perhitungan</t>
  </si>
  <si>
    <t>beda</t>
  </si>
  <si>
    <t>Data</t>
  </si>
  <si>
    <t>No</t>
  </si>
  <si>
    <t>cycle time</t>
  </si>
  <si>
    <t>jumlah hari</t>
  </si>
  <si>
    <t>deman</t>
  </si>
  <si>
    <t>jam kerja</t>
  </si>
  <si>
    <t>efektivitas kerja</t>
  </si>
  <si>
    <t>detik</t>
  </si>
  <si>
    <t>hari</t>
  </si>
  <si>
    <t>ton</t>
  </si>
  <si>
    <t>jam</t>
  </si>
  <si>
    <t>%</t>
  </si>
  <si>
    <t>rumus</t>
  </si>
  <si>
    <t>jam kerja x 3600 x % efektivitaskerja</t>
  </si>
  <si>
    <t>jk</t>
  </si>
  <si>
    <t>ton/hari</t>
  </si>
  <si>
    <t>takt time</t>
  </si>
  <si>
    <t>Pencarian Roll</t>
  </si>
  <si>
    <r>
      <t>(x̄-</t>
    </r>
    <r>
      <rPr>
        <i/>
        <sz val="12"/>
        <rFont val="Times New Roman"/>
        <family val="1"/>
      </rPr>
      <t>xi</t>
    </r>
    <r>
      <rPr>
        <sz val="12"/>
        <rFont val="Times New Roman"/>
        <family val="1"/>
      </rPr>
      <t>)</t>
    </r>
  </si>
  <si>
    <t>(x̄-xi)^2</t>
  </si>
  <si>
    <t>xi</t>
  </si>
  <si>
    <t>Pembongkaran Roll</t>
  </si>
  <si>
    <t>Pemindahan Roll Ke Area Transit</t>
  </si>
  <si>
    <t>Pengecekan Sebelum Proses Memuat</t>
  </si>
  <si>
    <t>Proses Memuat Roll</t>
  </si>
  <si>
    <t>menit</t>
  </si>
  <si>
    <t>nilai z</t>
  </si>
  <si>
    <t>tingkat kepercayaan (%)</t>
  </si>
  <si>
    <t>jumlah data yang diperlukan</t>
  </si>
  <si>
    <t>Faktor Kelonggaran</t>
  </si>
  <si>
    <t>Perjalan ke toilet</t>
  </si>
  <si>
    <t>Buang air kecil</t>
  </si>
  <si>
    <t>Buang air besar</t>
  </si>
  <si>
    <t xml:space="preserve">Peregangan </t>
  </si>
  <si>
    <t>Sikap kerja</t>
  </si>
  <si>
    <t>Hambatan yang tidak terhindarkan</t>
  </si>
  <si>
    <t>total</t>
  </si>
  <si>
    <t/>
  </si>
  <si>
    <t>total waktu</t>
  </si>
  <si>
    <t>persentase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</si>
</sst>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%"/>
  </numFmts>
  <fonts count="13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2" fontId="5" fillId="0" borderId="0" xfId="0" quotePrefix="1" applyNumberFormat="1" applyFont="1" applyAlignment="1">
      <alignment horizontal="center" vertical="center"/>
    </xf>
    <xf numFmtId="2" fontId="5" fillId="0" borderId="1" xfId="0" quotePrefix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166" fontId="0" fillId="0" borderId="0" xfId="0" applyNumberFormat="1"/>
    <xf numFmtId="0" fontId="0" fillId="0" borderId="1" xfId="0" quotePrefix="1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quotePrefix="1" applyAlignment="1">
      <alignment horizontal="left"/>
    </xf>
    <xf numFmtId="167" fontId="0" fillId="0" borderId="0" xfId="0" applyNumberFormat="1"/>
    <xf numFmtId="0" fontId="5" fillId="0" borderId="1" xfId="0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12" fillId="0" borderId="2" xfId="0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Pembongkaran</a:t>
            </a:r>
            <a:r>
              <a:rPr lang="en-ID" baseline="0"/>
              <a:t> Barang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Grafik!$K$4:$K$18</c:f>
              <c:numCache>
                <c:formatCode>0.00</c:formatCode>
                <c:ptCount val="15"/>
                <c:pt idx="0">
                  <c:v>26.58</c:v>
                </c:pt>
                <c:pt idx="1">
                  <c:v>24.4</c:v>
                </c:pt>
                <c:pt idx="2">
                  <c:v>19.3</c:v>
                </c:pt>
                <c:pt idx="3">
                  <c:v>20.05</c:v>
                </c:pt>
                <c:pt idx="4">
                  <c:v>21.75</c:v>
                </c:pt>
                <c:pt idx="5">
                  <c:v>23.166666666666668</c:v>
                </c:pt>
                <c:pt idx="6">
                  <c:v>20.350000000000001</c:v>
                </c:pt>
                <c:pt idx="7">
                  <c:v>19.183333333333302</c:v>
                </c:pt>
                <c:pt idx="8">
                  <c:v>21.65</c:v>
                </c:pt>
                <c:pt idx="9">
                  <c:v>25.283333333333335</c:v>
                </c:pt>
                <c:pt idx="10">
                  <c:v>20.383333333333333</c:v>
                </c:pt>
                <c:pt idx="11">
                  <c:v>22.966666666666665</c:v>
                </c:pt>
                <c:pt idx="12">
                  <c:v>20.066666666666698</c:v>
                </c:pt>
                <c:pt idx="13">
                  <c:v>19.149999999999999</c:v>
                </c:pt>
                <c:pt idx="14">
                  <c:v>24.816666666666698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BA-457A-8769-E440476CC275}"/>
            </c:ext>
          </c:extLst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BKA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Grafik!$L$4:$L$18</c:f>
              <c:numCache>
                <c:formatCode>0.00</c:formatCode>
                <c:ptCount val="15"/>
                <c:pt idx="0">
                  <c:v>26.675428206985409</c:v>
                </c:pt>
                <c:pt idx="1">
                  <c:v>26.675428206985409</c:v>
                </c:pt>
                <c:pt idx="2">
                  <c:v>26.675428206985409</c:v>
                </c:pt>
                <c:pt idx="3">
                  <c:v>26.675428206985409</c:v>
                </c:pt>
                <c:pt idx="4">
                  <c:v>26.675428206985409</c:v>
                </c:pt>
                <c:pt idx="5">
                  <c:v>26.675428206985409</c:v>
                </c:pt>
                <c:pt idx="6">
                  <c:v>26.675428206985409</c:v>
                </c:pt>
                <c:pt idx="7">
                  <c:v>26.675428206985409</c:v>
                </c:pt>
                <c:pt idx="8">
                  <c:v>26.675428206985409</c:v>
                </c:pt>
                <c:pt idx="9">
                  <c:v>26.675428206985409</c:v>
                </c:pt>
                <c:pt idx="10">
                  <c:v>26.675428206985409</c:v>
                </c:pt>
                <c:pt idx="11">
                  <c:v>26.675428206985409</c:v>
                </c:pt>
                <c:pt idx="12">
                  <c:v>26.675428206985409</c:v>
                </c:pt>
                <c:pt idx="13">
                  <c:v>26.675428206985409</c:v>
                </c:pt>
                <c:pt idx="14">
                  <c:v>26.675428206985409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BA-457A-8769-E440476CC275}"/>
            </c:ext>
          </c:extLst>
        </c:ser>
        <c:ser>
          <c:idx val="2"/>
          <c:order val="2"/>
          <c:tx>
            <c:strRef>
              <c:f>Grafik!$M$3</c:f>
              <c:strCache>
                <c:ptCount val="1"/>
                <c:pt idx="0">
                  <c:v>BKB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Grafik!$M$4:$M$18</c:f>
              <c:numCache>
                <c:formatCode>0.00</c:formatCode>
                <c:ptCount val="15"/>
                <c:pt idx="0">
                  <c:v>17.204127348570154</c:v>
                </c:pt>
                <c:pt idx="1">
                  <c:v>17.204127348570154</c:v>
                </c:pt>
                <c:pt idx="2">
                  <c:v>17.204127348570154</c:v>
                </c:pt>
                <c:pt idx="3">
                  <c:v>17.204127348570154</c:v>
                </c:pt>
                <c:pt idx="4">
                  <c:v>17.204127348570154</c:v>
                </c:pt>
                <c:pt idx="5">
                  <c:v>17.204127348570154</c:v>
                </c:pt>
                <c:pt idx="6">
                  <c:v>17.204127348570154</c:v>
                </c:pt>
                <c:pt idx="7">
                  <c:v>17.204127348570154</c:v>
                </c:pt>
                <c:pt idx="8">
                  <c:v>17.204127348570154</c:v>
                </c:pt>
                <c:pt idx="9">
                  <c:v>17.204127348570154</c:v>
                </c:pt>
                <c:pt idx="10">
                  <c:v>17.204127348570154</c:v>
                </c:pt>
                <c:pt idx="11">
                  <c:v>17.204127348570154</c:v>
                </c:pt>
                <c:pt idx="12">
                  <c:v>17.204127348570154</c:v>
                </c:pt>
                <c:pt idx="13">
                  <c:v>17.204127348570154</c:v>
                </c:pt>
                <c:pt idx="14">
                  <c:v>17.204127348570154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BA-457A-8769-E440476CC275}"/>
            </c:ext>
          </c:extLst>
        </c:ser>
        <c:ser>
          <c:idx val="3"/>
          <c:order val="3"/>
          <c:tx>
            <c:strRef>
              <c:f>Grafik!$N$3</c:f>
              <c:strCache>
                <c:ptCount val="1"/>
                <c:pt idx="0">
                  <c:v>WS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Grafik!$N$4:$N$18</c:f>
              <c:numCache>
                <c:formatCode>0.00</c:formatCode>
                <c:ptCount val="15"/>
                <c:pt idx="0">
                  <c:v>21.939777777777781</c:v>
                </c:pt>
                <c:pt idx="1">
                  <c:v>21.939777777777781</c:v>
                </c:pt>
                <c:pt idx="2">
                  <c:v>21.939777777777781</c:v>
                </c:pt>
                <c:pt idx="3">
                  <c:v>21.939777777777781</c:v>
                </c:pt>
                <c:pt idx="4">
                  <c:v>21.939777777777781</c:v>
                </c:pt>
                <c:pt idx="5">
                  <c:v>21.939777777777781</c:v>
                </c:pt>
                <c:pt idx="6">
                  <c:v>21.939777777777781</c:v>
                </c:pt>
                <c:pt idx="7">
                  <c:v>21.939777777777781</c:v>
                </c:pt>
                <c:pt idx="8">
                  <c:v>21.939777777777781</c:v>
                </c:pt>
                <c:pt idx="9">
                  <c:v>21.939777777777781</c:v>
                </c:pt>
                <c:pt idx="10">
                  <c:v>21.939777777777781</c:v>
                </c:pt>
                <c:pt idx="11">
                  <c:v>21.939777777777781</c:v>
                </c:pt>
                <c:pt idx="12">
                  <c:v>21.939777777777781</c:v>
                </c:pt>
                <c:pt idx="13">
                  <c:v>21.939777777777781</c:v>
                </c:pt>
                <c:pt idx="14">
                  <c:v>21.939777777777781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BA-457A-8769-E440476CC275}"/>
            </c:ext>
          </c:extLst>
        </c:ser>
        <c:ser>
          <c:idx val="4"/>
          <c:order val="4"/>
          <c:tx>
            <c:strRef>
              <c:f>Grafik!$O$3</c:f>
              <c:strCache>
                <c:ptCount val="1"/>
                <c:pt idx="0">
                  <c:v>WN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Grafik!$O$4:$O$18</c:f>
              <c:numCache>
                <c:formatCode>0.00</c:formatCode>
                <c:ptCount val="15"/>
                <c:pt idx="0">
                  <c:v>25.596407407407412</c:v>
                </c:pt>
                <c:pt idx="1">
                  <c:v>25.596407407407412</c:v>
                </c:pt>
                <c:pt idx="2">
                  <c:v>25.596407407407412</c:v>
                </c:pt>
                <c:pt idx="3">
                  <c:v>25.596407407407412</c:v>
                </c:pt>
                <c:pt idx="4">
                  <c:v>25.596407407407412</c:v>
                </c:pt>
                <c:pt idx="5">
                  <c:v>25.596407407407412</c:v>
                </c:pt>
                <c:pt idx="6">
                  <c:v>25.596407407407412</c:v>
                </c:pt>
                <c:pt idx="7">
                  <c:v>25.596407407407412</c:v>
                </c:pt>
                <c:pt idx="8">
                  <c:v>25.596407407407412</c:v>
                </c:pt>
                <c:pt idx="9">
                  <c:v>25.596407407407412</c:v>
                </c:pt>
                <c:pt idx="10">
                  <c:v>25.596407407407412</c:v>
                </c:pt>
                <c:pt idx="11">
                  <c:v>25.596407407407412</c:v>
                </c:pt>
                <c:pt idx="12">
                  <c:v>25.596407407407412</c:v>
                </c:pt>
                <c:pt idx="13">
                  <c:v>25.596407407407412</c:v>
                </c:pt>
                <c:pt idx="14">
                  <c:v>25.596407407407412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BA-457A-8769-E440476CC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9389919"/>
        <c:axId val="1519385343"/>
      </c:lineChart>
      <c:catAx>
        <c:axId val="1519389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385343"/>
        <c:crosses val="autoZero"/>
        <c:auto val="1"/>
        <c:lblAlgn val="ctr"/>
        <c:lblOffset val="100"/>
        <c:noMultiLvlLbl val="0"/>
      </c:catAx>
      <c:valAx>
        <c:axId val="151938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389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Pindah ke Area Transit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Grafik!$S$3</c:f>
              <c:strCache>
                <c:ptCount val="1"/>
                <c:pt idx="0">
                  <c:v>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Grafik!$S$4:$S$18</c:f>
              <c:numCache>
                <c:formatCode>0.00</c:formatCode>
                <c:ptCount val="15"/>
                <c:pt idx="0">
                  <c:v>20.716666666666665</c:v>
                </c:pt>
                <c:pt idx="1">
                  <c:v>22.95</c:v>
                </c:pt>
                <c:pt idx="2">
                  <c:v>20.516666666666666</c:v>
                </c:pt>
                <c:pt idx="3">
                  <c:v>22.933333333333334</c:v>
                </c:pt>
                <c:pt idx="4">
                  <c:v>23.833333333333332</c:v>
                </c:pt>
                <c:pt idx="5">
                  <c:v>23.533333333333335</c:v>
                </c:pt>
                <c:pt idx="6">
                  <c:v>20.95</c:v>
                </c:pt>
                <c:pt idx="7">
                  <c:v>19.866666666666667</c:v>
                </c:pt>
                <c:pt idx="8">
                  <c:v>22.283333333333335</c:v>
                </c:pt>
                <c:pt idx="9">
                  <c:v>24.483333333333334</c:v>
                </c:pt>
                <c:pt idx="10">
                  <c:v>19.45</c:v>
                </c:pt>
                <c:pt idx="11">
                  <c:v>22.5</c:v>
                </c:pt>
                <c:pt idx="12">
                  <c:v>23.666666666666668</c:v>
                </c:pt>
                <c:pt idx="13">
                  <c:v>21.7</c:v>
                </c:pt>
                <c:pt idx="14">
                  <c:v>21.683333333333334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4B-4310-AF44-D081567D29FC}"/>
            </c:ext>
          </c:extLst>
        </c:ser>
        <c:ser>
          <c:idx val="1"/>
          <c:order val="1"/>
          <c:tx>
            <c:strRef>
              <c:f>Grafik!$T$3</c:f>
              <c:strCache>
                <c:ptCount val="1"/>
                <c:pt idx="0">
                  <c:v>BKA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Grafik!$T$4:$T$18</c:f>
              <c:numCache>
                <c:formatCode>0.00</c:formatCode>
                <c:ptCount val="15"/>
                <c:pt idx="0">
                  <c:v>25.032128620576064</c:v>
                </c:pt>
                <c:pt idx="1">
                  <c:v>25.032128620576064</c:v>
                </c:pt>
                <c:pt idx="2">
                  <c:v>25.032128620576064</c:v>
                </c:pt>
                <c:pt idx="3">
                  <c:v>25.032128620576064</c:v>
                </c:pt>
                <c:pt idx="4">
                  <c:v>25.032128620576064</c:v>
                </c:pt>
                <c:pt idx="5">
                  <c:v>25.032128620576064</c:v>
                </c:pt>
                <c:pt idx="6">
                  <c:v>25.032128620576064</c:v>
                </c:pt>
                <c:pt idx="7">
                  <c:v>25.032128620576064</c:v>
                </c:pt>
                <c:pt idx="8">
                  <c:v>25.032128620576064</c:v>
                </c:pt>
                <c:pt idx="9">
                  <c:v>25.032128620576064</c:v>
                </c:pt>
                <c:pt idx="10">
                  <c:v>25.032128620576064</c:v>
                </c:pt>
                <c:pt idx="11">
                  <c:v>25.032128620576064</c:v>
                </c:pt>
                <c:pt idx="12">
                  <c:v>25.032128620576064</c:v>
                </c:pt>
                <c:pt idx="13">
                  <c:v>25.032128620576064</c:v>
                </c:pt>
                <c:pt idx="14">
                  <c:v>25.032128620576064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4B-4310-AF44-D081567D29FC}"/>
            </c:ext>
          </c:extLst>
        </c:ser>
        <c:ser>
          <c:idx val="2"/>
          <c:order val="2"/>
          <c:tx>
            <c:strRef>
              <c:f>Grafik!$U$3</c:f>
              <c:strCache>
                <c:ptCount val="1"/>
                <c:pt idx="0">
                  <c:v>BKB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Grafik!$U$4:$U$18</c:f>
              <c:numCache>
                <c:formatCode>0.00</c:formatCode>
                <c:ptCount val="15"/>
                <c:pt idx="0">
                  <c:v>19.11009360164616</c:v>
                </c:pt>
                <c:pt idx="1">
                  <c:v>19.11009360164616</c:v>
                </c:pt>
                <c:pt idx="2">
                  <c:v>19.11009360164616</c:v>
                </c:pt>
                <c:pt idx="3">
                  <c:v>19.11009360164616</c:v>
                </c:pt>
                <c:pt idx="4">
                  <c:v>19.11009360164616</c:v>
                </c:pt>
                <c:pt idx="5">
                  <c:v>19.11009360164616</c:v>
                </c:pt>
                <c:pt idx="6">
                  <c:v>19.11009360164616</c:v>
                </c:pt>
                <c:pt idx="7">
                  <c:v>19.11009360164616</c:v>
                </c:pt>
                <c:pt idx="8">
                  <c:v>19.11009360164616</c:v>
                </c:pt>
                <c:pt idx="9">
                  <c:v>19.11009360164616</c:v>
                </c:pt>
                <c:pt idx="10">
                  <c:v>19.11009360164616</c:v>
                </c:pt>
                <c:pt idx="11">
                  <c:v>19.11009360164616</c:v>
                </c:pt>
                <c:pt idx="12">
                  <c:v>19.11009360164616</c:v>
                </c:pt>
                <c:pt idx="13">
                  <c:v>19.11009360164616</c:v>
                </c:pt>
                <c:pt idx="14">
                  <c:v>19.11009360164616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4B-4310-AF44-D081567D29FC}"/>
            </c:ext>
          </c:extLst>
        </c:ser>
        <c:ser>
          <c:idx val="3"/>
          <c:order val="3"/>
          <c:tx>
            <c:strRef>
              <c:f>Grafik!$V$3</c:f>
              <c:strCache>
                <c:ptCount val="1"/>
                <c:pt idx="0">
                  <c:v>WS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Grafik!$V$4:$V$18</c:f>
              <c:numCache>
                <c:formatCode>0.00</c:formatCode>
                <c:ptCount val="15"/>
                <c:pt idx="0">
                  <c:v>22.071111111111112</c:v>
                </c:pt>
                <c:pt idx="1">
                  <c:v>22.071111111111112</c:v>
                </c:pt>
                <c:pt idx="2">
                  <c:v>22.071111111111112</c:v>
                </c:pt>
                <c:pt idx="3">
                  <c:v>22.071111111111112</c:v>
                </c:pt>
                <c:pt idx="4">
                  <c:v>22.071111111111112</c:v>
                </c:pt>
                <c:pt idx="5">
                  <c:v>22.071111111111112</c:v>
                </c:pt>
                <c:pt idx="6">
                  <c:v>22.071111111111112</c:v>
                </c:pt>
                <c:pt idx="7">
                  <c:v>22.071111111111112</c:v>
                </c:pt>
                <c:pt idx="8">
                  <c:v>22.071111111111112</c:v>
                </c:pt>
                <c:pt idx="9">
                  <c:v>22.071111111111112</c:v>
                </c:pt>
                <c:pt idx="10">
                  <c:v>22.071111111111112</c:v>
                </c:pt>
                <c:pt idx="11">
                  <c:v>22.071111111111112</c:v>
                </c:pt>
                <c:pt idx="12">
                  <c:v>22.071111111111112</c:v>
                </c:pt>
                <c:pt idx="13">
                  <c:v>22.071111111111112</c:v>
                </c:pt>
                <c:pt idx="14">
                  <c:v>22.071111111111112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4B-4310-AF44-D081567D29FC}"/>
            </c:ext>
          </c:extLst>
        </c:ser>
        <c:ser>
          <c:idx val="4"/>
          <c:order val="4"/>
          <c:tx>
            <c:strRef>
              <c:f>Grafik!$W$3</c:f>
              <c:strCache>
                <c:ptCount val="1"/>
                <c:pt idx="0">
                  <c:v>WN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Grafik!$W$4:$W$18</c:f>
              <c:numCache>
                <c:formatCode>0.00</c:formatCode>
                <c:ptCount val="15"/>
                <c:pt idx="0">
                  <c:v>25.749629629629631</c:v>
                </c:pt>
                <c:pt idx="1">
                  <c:v>25.749629629629631</c:v>
                </c:pt>
                <c:pt idx="2">
                  <c:v>25.749629629629631</c:v>
                </c:pt>
                <c:pt idx="3">
                  <c:v>25.749629629629631</c:v>
                </c:pt>
                <c:pt idx="4">
                  <c:v>25.749629629629631</c:v>
                </c:pt>
                <c:pt idx="5">
                  <c:v>25.749629629629631</c:v>
                </c:pt>
                <c:pt idx="6">
                  <c:v>25.749629629629631</c:v>
                </c:pt>
                <c:pt idx="7">
                  <c:v>25.749629629629631</c:v>
                </c:pt>
                <c:pt idx="8">
                  <c:v>25.749629629629631</c:v>
                </c:pt>
                <c:pt idx="9">
                  <c:v>25.749629629629631</c:v>
                </c:pt>
                <c:pt idx="10">
                  <c:v>25.749629629629631</c:v>
                </c:pt>
                <c:pt idx="11">
                  <c:v>25.749629629629631</c:v>
                </c:pt>
                <c:pt idx="12">
                  <c:v>25.749629629629631</c:v>
                </c:pt>
                <c:pt idx="13">
                  <c:v>25.749629629629631</c:v>
                </c:pt>
                <c:pt idx="14">
                  <c:v>25.749629629629631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4B-4310-AF44-D081567D2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525263"/>
        <c:axId val="1657542735"/>
      </c:lineChart>
      <c:catAx>
        <c:axId val="16575252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542735"/>
        <c:crosses val="autoZero"/>
        <c:auto val="1"/>
        <c:lblAlgn val="ctr"/>
        <c:lblOffset val="100"/>
        <c:noMultiLvlLbl val="0"/>
      </c:catAx>
      <c:valAx>
        <c:axId val="165754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52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QC</a:t>
            </a:r>
            <a:r>
              <a:rPr lang="en-ID" baseline="0"/>
              <a:t> Sebelum Naik Ke Armada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Grafik!$AA$3</c:f>
              <c:strCache>
                <c:ptCount val="1"/>
                <c:pt idx="0">
                  <c:v>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Grafik!$AA$4:$AA$18</c:f>
              <c:numCache>
                <c:formatCode>0.00</c:formatCode>
                <c:ptCount val="15"/>
                <c:pt idx="0">
                  <c:v>9.1333333333333329</c:v>
                </c:pt>
                <c:pt idx="1">
                  <c:v>7.333333333333333</c:v>
                </c:pt>
                <c:pt idx="2">
                  <c:v>5.95</c:v>
                </c:pt>
                <c:pt idx="3">
                  <c:v>7.1166666666666663</c:v>
                </c:pt>
                <c:pt idx="4">
                  <c:v>6.833333333333333</c:v>
                </c:pt>
                <c:pt idx="5">
                  <c:v>7.6</c:v>
                </c:pt>
                <c:pt idx="6">
                  <c:v>8.0166666666666675</c:v>
                </c:pt>
                <c:pt idx="7">
                  <c:v>7.4333333333333336</c:v>
                </c:pt>
                <c:pt idx="8">
                  <c:v>8.3000000000000007</c:v>
                </c:pt>
                <c:pt idx="9">
                  <c:v>10.7</c:v>
                </c:pt>
                <c:pt idx="10">
                  <c:v>10.9</c:v>
                </c:pt>
                <c:pt idx="11">
                  <c:v>6.4333333333333336</c:v>
                </c:pt>
                <c:pt idx="12">
                  <c:v>6.7833333333333332</c:v>
                </c:pt>
                <c:pt idx="13">
                  <c:v>6.1333333333333337</c:v>
                </c:pt>
                <c:pt idx="14">
                  <c:v>9.25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0A-4AD2-A866-518946E2E9BE}"/>
            </c:ext>
          </c:extLst>
        </c:ser>
        <c:ser>
          <c:idx val="1"/>
          <c:order val="1"/>
          <c:tx>
            <c:strRef>
              <c:f>Grafik!$AB$3</c:f>
              <c:strCache>
                <c:ptCount val="1"/>
                <c:pt idx="0">
                  <c:v>BKA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Grafik!$AB$4:$AB$18</c:f>
              <c:numCache>
                <c:formatCode>0.00</c:formatCode>
                <c:ptCount val="15"/>
                <c:pt idx="0">
                  <c:v>10.829229773675284</c:v>
                </c:pt>
                <c:pt idx="1">
                  <c:v>10.829229773675284</c:v>
                </c:pt>
                <c:pt idx="2">
                  <c:v>10.829229773675284</c:v>
                </c:pt>
                <c:pt idx="3">
                  <c:v>10.829229773675284</c:v>
                </c:pt>
                <c:pt idx="4">
                  <c:v>10.829229773675284</c:v>
                </c:pt>
                <c:pt idx="5">
                  <c:v>10.829229773675284</c:v>
                </c:pt>
                <c:pt idx="6">
                  <c:v>10.829229773675284</c:v>
                </c:pt>
                <c:pt idx="7">
                  <c:v>10.829229773675284</c:v>
                </c:pt>
                <c:pt idx="8">
                  <c:v>10.829229773675284</c:v>
                </c:pt>
                <c:pt idx="9">
                  <c:v>10.829229773675284</c:v>
                </c:pt>
                <c:pt idx="10">
                  <c:v>10.829229773675284</c:v>
                </c:pt>
                <c:pt idx="11">
                  <c:v>10.829229773675284</c:v>
                </c:pt>
                <c:pt idx="12">
                  <c:v>10.829229773675284</c:v>
                </c:pt>
                <c:pt idx="13">
                  <c:v>10.829229773675284</c:v>
                </c:pt>
                <c:pt idx="14">
                  <c:v>10.829229773675284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0A-4AD2-A866-518946E2E9BE}"/>
            </c:ext>
          </c:extLst>
        </c:ser>
        <c:ser>
          <c:idx val="2"/>
          <c:order val="2"/>
          <c:tx>
            <c:strRef>
              <c:f>Grafik!$AC$3</c:f>
              <c:strCache>
                <c:ptCount val="1"/>
                <c:pt idx="0">
                  <c:v>BKB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Grafik!$AC$4:$AC$18</c:f>
              <c:numCache>
                <c:formatCode>0.00</c:formatCode>
                <c:ptCount val="15"/>
                <c:pt idx="0">
                  <c:v>4.8929924485469414</c:v>
                </c:pt>
                <c:pt idx="1">
                  <c:v>4.8929924485469414</c:v>
                </c:pt>
                <c:pt idx="2">
                  <c:v>4.8929924485469414</c:v>
                </c:pt>
                <c:pt idx="3">
                  <c:v>4.8929924485469414</c:v>
                </c:pt>
                <c:pt idx="4">
                  <c:v>4.8929924485469414</c:v>
                </c:pt>
                <c:pt idx="5">
                  <c:v>4.8929924485469414</c:v>
                </c:pt>
                <c:pt idx="6">
                  <c:v>4.8929924485469414</c:v>
                </c:pt>
                <c:pt idx="7">
                  <c:v>4.8929924485469414</c:v>
                </c:pt>
                <c:pt idx="8">
                  <c:v>4.8929924485469414</c:v>
                </c:pt>
                <c:pt idx="9">
                  <c:v>4.8929924485469414</c:v>
                </c:pt>
                <c:pt idx="10">
                  <c:v>4.8929924485469414</c:v>
                </c:pt>
                <c:pt idx="11">
                  <c:v>4.8929924485469414</c:v>
                </c:pt>
                <c:pt idx="12">
                  <c:v>4.8929924485469414</c:v>
                </c:pt>
                <c:pt idx="13">
                  <c:v>4.8929924485469414</c:v>
                </c:pt>
                <c:pt idx="14">
                  <c:v>4.8929924485469414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0A-4AD2-A866-518946E2E9BE}"/>
            </c:ext>
          </c:extLst>
        </c:ser>
        <c:ser>
          <c:idx val="3"/>
          <c:order val="3"/>
          <c:tx>
            <c:strRef>
              <c:f>Grafik!$AD$3</c:f>
              <c:strCache>
                <c:ptCount val="1"/>
                <c:pt idx="0">
                  <c:v>WS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Grafik!$AD$4:$AD$18</c:f>
              <c:numCache>
                <c:formatCode>0.00</c:formatCode>
                <c:ptCount val="15"/>
                <c:pt idx="0">
                  <c:v>7.8611111111111125</c:v>
                </c:pt>
                <c:pt idx="1">
                  <c:v>7.8611111111111125</c:v>
                </c:pt>
                <c:pt idx="2">
                  <c:v>7.8611111111111125</c:v>
                </c:pt>
                <c:pt idx="3">
                  <c:v>7.8611111111111125</c:v>
                </c:pt>
                <c:pt idx="4">
                  <c:v>7.8611111111111125</c:v>
                </c:pt>
                <c:pt idx="5">
                  <c:v>7.8611111111111125</c:v>
                </c:pt>
                <c:pt idx="6">
                  <c:v>7.8611111111111125</c:v>
                </c:pt>
                <c:pt idx="7">
                  <c:v>7.8611111111111125</c:v>
                </c:pt>
                <c:pt idx="8">
                  <c:v>7.8611111111111125</c:v>
                </c:pt>
                <c:pt idx="9">
                  <c:v>7.8611111111111125</c:v>
                </c:pt>
                <c:pt idx="10">
                  <c:v>7.8611111111111125</c:v>
                </c:pt>
                <c:pt idx="11">
                  <c:v>7.8611111111111125</c:v>
                </c:pt>
                <c:pt idx="12">
                  <c:v>7.8611111111111125</c:v>
                </c:pt>
                <c:pt idx="13">
                  <c:v>7.8611111111111125</c:v>
                </c:pt>
                <c:pt idx="14">
                  <c:v>7.8611111111111125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0A-4AD2-A866-518946E2E9BE}"/>
            </c:ext>
          </c:extLst>
        </c:ser>
        <c:ser>
          <c:idx val="4"/>
          <c:order val="4"/>
          <c:tx>
            <c:strRef>
              <c:f>Grafik!$AE$3</c:f>
              <c:strCache>
                <c:ptCount val="1"/>
                <c:pt idx="0">
                  <c:v>WN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Grafik!$AE$4:$AE$18</c:f>
              <c:numCache>
                <c:formatCode>0.00</c:formatCode>
                <c:ptCount val="15"/>
                <c:pt idx="0">
                  <c:v>9.1712962962962976</c:v>
                </c:pt>
                <c:pt idx="1">
                  <c:v>9.1712962962962976</c:v>
                </c:pt>
                <c:pt idx="2">
                  <c:v>9.1712962962962976</c:v>
                </c:pt>
                <c:pt idx="3">
                  <c:v>9.1712962962962976</c:v>
                </c:pt>
                <c:pt idx="4">
                  <c:v>9.1712962962962976</c:v>
                </c:pt>
                <c:pt idx="5">
                  <c:v>9.1712962962962976</c:v>
                </c:pt>
                <c:pt idx="6">
                  <c:v>9.1712962962962976</c:v>
                </c:pt>
                <c:pt idx="7">
                  <c:v>9.1712962962962976</c:v>
                </c:pt>
                <c:pt idx="8">
                  <c:v>9.1712962962962976</c:v>
                </c:pt>
                <c:pt idx="9">
                  <c:v>9.1712962962962976</c:v>
                </c:pt>
                <c:pt idx="10">
                  <c:v>9.1712962962962976</c:v>
                </c:pt>
                <c:pt idx="11">
                  <c:v>9.1712962962962976</c:v>
                </c:pt>
                <c:pt idx="12">
                  <c:v>9.1712962962962976</c:v>
                </c:pt>
                <c:pt idx="13">
                  <c:v>9.1712962962962976</c:v>
                </c:pt>
                <c:pt idx="14">
                  <c:v>9.1712962962962976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0A-4AD2-A866-518946E2E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563679"/>
        <c:axId val="983564095"/>
      </c:lineChart>
      <c:catAx>
        <c:axId val="9835636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564095"/>
        <c:crosses val="autoZero"/>
        <c:auto val="1"/>
        <c:lblAlgn val="ctr"/>
        <c:lblOffset val="100"/>
        <c:noMultiLvlLbl val="0"/>
      </c:catAx>
      <c:valAx>
        <c:axId val="98356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563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Pencarian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Grafik!$C$3</c:f>
              <c:strCache>
                <c:ptCount val="1"/>
                <c:pt idx="0">
                  <c:v>Data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Grafik!$C$4:$C$18</c:f>
              <c:numCache>
                <c:formatCode>0.00</c:formatCode>
                <c:ptCount val="15"/>
                <c:pt idx="0">
                  <c:v>28.8</c:v>
                </c:pt>
                <c:pt idx="1">
                  <c:v>27.016666666666666</c:v>
                </c:pt>
                <c:pt idx="2">
                  <c:v>25.35</c:v>
                </c:pt>
                <c:pt idx="3">
                  <c:v>26.15</c:v>
                </c:pt>
                <c:pt idx="4">
                  <c:v>29.583333333333332</c:v>
                </c:pt>
                <c:pt idx="5">
                  <c:v>25.366666666666667</c:v>
                </c:pt>
                <c:pt idx="6">
                  <c:v>29</c:v>
                </c:pt>
                <c:pt idx="7">
                  <c:v>25.783333333333335</c:v>
                </c:pt>
                <c:pt idx="8">
                  <c:v>29.45</c:v>
                </c:pt>
                <c:pt idx="9">
                  <c:v>23.783333333333335</c:v>
                </c:pt>
                <c:pt idx="10">
                  <c:v>21.65</c:v>
                </c:pt>
                <c:pt idx="11">
                  <c:v>23.633333333333333</c:v>
                </c:pt>
                <c:pt idx="12">
                  <c:v>40.766666666666666</c:v>
                </c:pt>
                <c:pt idx="13">
                  <c:v>22.1</c:v>
                </c:pt>
                <c:pt idx="14">
                  <c:v>23.25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F3-4056-9EA9-A339F4482D9B}"/>
            </c:ext>
          </c:extLst>
        </c:ser>
        <c:ser>
          <c:idx val="1"/>
          <c:order val="1"/>
          <c:tx>
            <c:strRef>
              <c:f>Grafik!$D$3</c:f>
              <c:strCache>
                <c:ptCount val="1"/>
                <c:pt idx="0">
                  <c:v>BKA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Grafik!$D$4:$D$18</c:f>
              <c:numCache>
                <c:formatCode>0.00</c:formatCode>
                <c:ptCount val="15"/>
                <c:pt idx="0">
                  <c:v>35.792561356758171</c:v>
                </c:pt>
                <c:pt idx="1">
                  <c:v>35.792561356758171</c:v>
                </c:pt>
                <c:pt idx="2">
                  <c:v>35.792561356758171</c:v>
                </c:pt>
                <c:pt idx="3">
                  <c:v>35.792561356758171</c:v>
                </c:pt>
                <c:pt idx="4">
                  <c:v>35.792561356758171</c:v>
                </c:pt>
                <c:pt idx="5">
                  <c:v>35.792561356758171</c:v>
                </c:pt>
                <c:pt idx="6">
                  <c:v>35.792561356758171</c:v>
                </c:pt>
                <c:pt idx="7">
                  <c:v>35.792561356758171</c:v>
                </c:pt>
                <c:pt idx="8">
                  <c:v>35.792561356758171</c:v>
                </c:pt>
                <c:pt idx="9">
                  <c:v>35.792561356758171</c:v>
                </c:pt>
                <c:pt idx="10">
                  <c:v>35.792561356758171</c:v>
                </c:pt>
                <c:pt idx="11">
                  <c:v>35.792561356758171</c:v>
                </c:pt>
                <c:pt idx="12">
                  <c:v>35.792561356758171</c:v>
                </c:pt>
                <c:pt idx="13">
                  <c:v>35.792561356758171</c:v>
                </c:pt>
                <c:pt idx="14">
                  <c:v>35.792561356758171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F3-4056-9EA9-A339F4482D9B}"/>
            </c:ext>
          </c:extLst>
        </c:ser>
        <c:ser>
          <c:idx val="2"/>
          <c:order val="2"/>
          <c:tx>
            <c:strRef>
              <c:f>Grafik!$E$3</c:f>
              <c:strCache>
                <c:ptCount val="1"/>
                <c:pt idx="0">
                  <c:v>BKB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Grafik!$E$4:$E$18</c:f>
              <c:numCache>
                <c:formatCode>0.00</c:formatCode>
                <c:ptCount val="15"/>
                <c:pt idx="0">
                  <c:v>17.765216421019609</c:v>
                </c:pt>
                <c:pt idx="1">
                  <c:v>17.765216421019609</c:v>
                </c:pt>
                <c:pt idx="2">
                  <c:v>17.765216421019609</c:v>
                </c:pt>
                <c:pt idx="3">
                  <c:v>17.765216421019609</c:v>
                </c:pt>
                <c:pt idx="4">
                  <c:v>17.765216421019609</c:v>
                </c:pt>
                <c:pt idx="5">
                  <c:v>17.765216421019609</c:v>
                </c:pt>
                <c:pt idx="6">
                  <c:v>17.765216421019609</c:v>
                </c:pt>
                <c:pt idx="7">
                  <c:v>17.765216421019609</c:v>
                </c:pt>
                <c:pt idx="8">
                  <c:v>17.765216421019609</c:v>
                </c:pt>
                <c:pt idx="9">
                  <c:v>17.765216421019609</c:v>
                </c:pt>
                <c:pt idx="10">
                  <c:v>17.765216421019609</c:v>
                </c:pt>
                <c:pt idx="11">
                  <c:v>17.765216421019609</c:v>
                </c:pt>
                <c:pt idx="12">
                  <c:v>17.765216421019609</c:v>
                </c:pt>
                <c:pt idx="13">
                  <c:v>17.765216421019609</c:v>
                </c:pt>
                <c:pt idx="14">
                  <c:v>17.765216421019609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F3-4056-9EA9-A339F4482D9B}"/>
            </c:ext>
          </c:extLst>
        </c:ser>
        <c:ser>
          <c:idx val="3"/>
          <c:order val="3"/>
          <c:tx>
            <c:strRef>
              <c:f>Grafik!$F$3</c:f>
              <c:strCache>
                <c:ptCount val="1"/>
                <c:pt idx="0">
                  <c:v>WS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Grafik!$F$4:$F$18</c:f>
              <c:numCache>
                <c:formatCode>0.00</c:formatCode>
                <c:ptCount val="15"/>
                <c:pt idx="0">
                  <c:v>26.77888888888889</c:v>
                </c:pt>
                <c:pt idx="1">
                  <c:v>26.77888888888889</c:v>
                </c:pt>
                <c:pt idx="2">
                  <c:v>26.77888888888889</c:v>
                </c:pt>
                <c:pt idx="3">
                  <c:v>26.77888888888889</c:v>
                </c:pt>
                <c:pt idx="4">
                  <c:v>26.77888888888889</c:v>
                </c:pt>
                <c:pt idx="5">
                  <c:v>26.77888888888889</c:v>
                </c:pt>
                <c:pt idx="6">
                  <c:v>26.77888888888889</c:v>
                </c:pt>
                <c:pt idx="7">
                  <c:v>26.77888888888889</c:v>
                </c:pt>
                <c:pt idx="8">
                  <c:v>26.77888888888889</c:v>
                </c:pt>
                <c:pt idx="9">
                  <c:v>26.77888888888889</c:v>
                </c:pt>
                <c:pt idx="10">
                  <c:v>26.77888888888889</c:v>
                </c:pt>
                <c:pt idx="11">
                  <c:v>26.77888888888889</c:v>
                </c:pt>
                <c:pt idx="12">
                  <c:v>26.77888888888889</c:v>
                </c:pt>
                <c:pt idx="13">
                  <c:v>26.77888888888889</c:v>
                </c:pt>
                <c:pt idx="14">
                  <c:v>26.77888888888889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F3-4056-9EA9-A339F4482D9B}"/>
            </c:ext>
          </c:extLst>
        </c:ser>
        <c:ser>
          <c:idx val="4"/>
          <c:order val="4"/>
          <c:tx>
            <c:strRef>
              <c:f>Grafik!$G$3</c:f>
              <c:strCache>
                <c:ptCount val="1"/>
                <c:pt idx="0">
                  <c:v>WN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val>
            <c:numRef>
              <c:f>Grafik!$G$4:$G$18</c:f>
              <c:numCache>
                <c:formatCode>0.00</c:formatCode>
                <c:ptCount val="15"/>
                <c:pt idx="0">
                  <c:v>31.24203703703704</c:v>
                </c:pt>
                <c:pt idx="1">
                  <c:v>31.24203703703704</c:v>
                </c:pt>
                <c:pt idx="2">
                  <c:v>31.24203703703704</c:v>
                </c:pt>
                <c:pt idx="3">
                  <c:v>31.24203703703704</c:v>
                </c:pt>
                <c:pt idx="4">
                  <c:v>31.24203703703704</c:v>
                </c:pt>
                <c:pt idx="5">
                  <c:v>31.24203703703704</c:v>
                </c:pt>
                <c:pt idx="6">
                  <c:v>31.24203703703704</c:v>
                </c:pt>
                <c:pt idx="7">
                  <c:v>31.24203703703704</c:v>
                </c:pt>
                <c:pt idx="8">
                  <c:v>31.24203703703704</c:v>
                </c:pt>
                <c:pt idx="9">
                  <c:v>31.24203703703704</c:v>
                </c:pt>
                <c:pt idx="10">
                  <c:v>31.24203703703704</c:v>
                </c:pt>
                <c:pt idx="11">
                  <c:v>31.24203703703704</c:v>
                </c:pt>
                <c:pt idx="12">
                  <c:v>31.24203703703704</c:v>
                </c:pt>
                <c:pt idx="13">
                  <c:v>31.24203703703704</c:v>
                </c:pt>
                <c:pt idx="14">
                  <c:v>31.24203703703704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F3-4056-9EA9-A339F4482D9B}"/>
            </c:ext>
          </c:extLst>
        </c:ser>
        <c:ser>
          <c:idx val="5"/>
          <c:order val="5"/>
          <c:tx>
            <c:strRef>
              <c:f>Grafik!$H$3</c:f>
              <c:strCache>
                <c:ptCount val="1"/>
                <c:pt idx="0">
                  <c:v>WB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val>
            <c:numRef>
              <c:f>Grafik!$H$4:$H$18</c:f>
              <c:numCache>
                <c:formatCode>0.00</c:formatCode>
                <c:ptCount val="15"/>
                <c:pt idx="0">
                  <c:v>31.255432222275157</c:v>
                </c:pt>
                <c:pt idx="1">
                  <c:v>31.255432222275157</c:v>
                </c:pt>
                <c:pt idx="2">
                  <c:v>31.255432222275157</c:v>
                </c:pt>
                <c:pt idx="3">
                  <c:v>31.255432222275157</c:v>
                </c:pt>
                <c:pt idx="4">
                  <c:v>31.255432222275157</c:v>
                </c:pt>
                <c:pt idx="5">
                  <c:v>31.255432222275157</c:v>
                </c:pt>
                <c:pt idx="6">
                  <c:v>31.255432222275157</c:v>
                </c:pt>
                <c:pt idx="7">
                  <c:v>31.255432222275157</c:v>
                </c:pt>
                <c:pt idx="8">
                  <c:v>31.255432222275157</c:v>
                </c:pt>
                <c:pt idx="9">
                  <c:v>31.255432222275157</c:v>
                </c:pt>
                <c:pt idx="10">
                  <c:v>31.255432222275157</c:v>
                </c:pt>
                <c:pt idx="11">
                  <c:v>31.255432222275157</c:v>
                </c:pt>
                <c:pt idx="12">
                  <c:v>31.255432222275157</c:v>
                </c:pt>
                <c:pt idx="13">
                  <c:v>31.255432222275157</c:v>
                </c:pt>
                <c:pt idx="14">
                  <c:v>31.255432222275157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F3-4056-9EA9-A339F4482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412095"/>
        <c:axId val="884406815"/>
      </c:lineChart>
      <c:catAx>
        <c:axId val="88441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406815"/>
        <c:crosses val="autoZero"/>
        <c:auto val="1"/>
        <c:lblAlgn val="ctr"/>
        <c:lblOffset val="100"/>
        <c:noMultiLvlLbl val="0"/>
      </c:catAx>
      <c:valAx>
        <c:axId val="884406815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412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proses</a:t>
            </a:r>
            <a:r>
              <a:rPr lang="en-US" sz="1400" baseline="0"/>
              <a:t> memuat roll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Grafik!$AI$3</c:f>
              <c:strCache>
                <c:ptCount val="1"/>
                <c:pt idx="0">
                  <c:v>Data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Grafik!$AI$4:$AI$18</c:f>
              <c:numCache>
                <c:formatCode>0.00</c:formatCode>
                <c:ptCount val="15"/>
                <c:pt idx="0">
                  <c:v>42.25</c:v>
                </c:pt>
                <c:pt idx="1">
                  <c:v>42.133333333333333</c:v>
                </c:pt>
                <c:pt idx="2">
                  <c:v>38.68333333333333</c:v>
                </c:pt>
                <c:pt idx="3">
                  <c:v>35.85</c:v>
                </c:pt>
                <c:pt idx="4">
                  <c:v>36.666666666666664</c:v>
                </c:pt>
                <c:pt idx="5">
                  <c:v>42.2</c:v>
                </c:pt>
                <c:pt idx="6">
                  <c:v>40.9</c:v>
                </c:pt>
                <c:pt idx="7">
                  <c:v>40.65</c:v>
                </c:pt>
                <c:pt idx="8">
                  <c:v>41.983333333333334</c:v>
                </c:pt>
                <c:pt idx="9">
                  <c:v>42.43333333333333</c:v>
                </c:pt>
                <c:pt idx="10">
                  <c:v>36.966666666666669</c:v>
                </c:pt>
                <c:pt idx="11">
                  <c:v>42.233333333333334</c:v>
                </c:pt>
                <c:pt idx="12">
                  <c:v>41.6</c:v>
                </c:pt>
                <c:pt idx="13">
                  <c:v>39.133333333333333</c:v>
                </c:pt>
                <c:pt idx="14">
                  <c:v>40.43333333333333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C0-4F89-B647-E4AD48FDC5FC}"/>
            </c:ext>
          </c:extLst>
        </c:ser>
        <c:ser>
          <c:idx val="1"/>
          <c:order val="1"/>
          <c:tx>
            <c:strRef>
              <c:f>Grafik!$AJ$3</c:f>
              <c:strCache>
                <c:ptCount val="1"/>
                <c:pt idx="0">
                  <c:v>BKA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Grafik!$AJ$4:$AJ$18</c:f>
              <c:numCache>
                <c:formatCode>0.00</c:formatCode>
                <c:ptCount val="15"/>
                <c:pt idx="0">
                  <c:v>44.661274341216121</c:v>
                </c:pt>
                <c:pt idx="1">
                  <c:v>44.661274341216121</c:v>
                </c:pt>
                <c:pt idx="2">
                  <c:v>44.661274341216121</c:v>
                </c:pt>
                <c:pt idx="3">
                  <c:v>44.661274341216121</c:v>
                </c:pt>
                <c:pt idx="4">
                  <c:v>44.661274341216121</c:v>
                </c:pt>
                <c:pt idx="5">
                  <c:v>44.661274341216121</c:v>
                </c:pt>
                <c:pt idx="6">
                  <c:v>44.661274341216121</c:v>
                </c:pt>
                <c:pt idx="7">
                  <c:v>44.661274341216121</c:v>
                </c:pt>
                <c:pt idx="8">
                  <c:v>44.661274341216121</c:v>
                </c:pt>
                <c:pt idx="9">
                  <c:v>44.661274341216121</c:v>
                </c:pt>
                <c:pt idx="10">
                  <c:v>44.661274341216121</c:v>
                </c:pt>
                <c:pt idx="11">
                  <c:v>44.661274341216121</c:v>
                </c:pt>
                <c:pt idx="12">
                  <c:v>44.661274341216121</c:v>
                </c:pt>
                <c:pt idx="13">
                  <c:v>44.661274341216121</c:v>
                </c:pt>
                <c:pt idx="14">
                  <c:v>44.661274341216121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C0-4F89-B647-E4AD48FDC5FC}"/>
            </c:ext>
          </c:extLst>
        </c:ser>
        <c:ser>
          <c:idx val="2"/>
          <c:order val="2"/>
          <c:tx>
            <c:strRef>
              <c:f>Grafik!$AK$3</c:f>
              <c:strCache>
                <c:ptCount val="1"/>
                <c:pt idx="0">
                  <c:v>BKB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Grafik!$AK$4:$AK$18</c:f>
              <c:numCache>
                <c:formatCode>0.00</c:formatCode>
                <c:ptCount val="15"/>
                <c:pt idx="0">
                  <c:v>35.887614547672747</c:v>
                </c:pt>
                <c:pt idx="1">
                  <c:v>35.887614547672747</c:v>
                </c:pt>
                <c:pt idx="2">
                  <c:v>35.887614547672747</c:v>
                </c:pt>
                <c:pt idx="3">
                  <c:v>35.887614547672747</c:v>
                </c:pt>
                <c:pt idx="4">
                  <c:v>35.887614547672747</c:v>
                </c:pt>
                <c:pt idx="5">
                  <c:v>35.887614547672747</c:v>
                </c:pt>
                <c:pt idx="6">
                  <c:v>35.887614547672747</c:v>
                </c:pt>
                <c:pt idx="7">
                  <c:v>35.887614547672747</c:v>
                </c:pt>
                <c:pt idx="8">
                  <c:v>35.887614547672747</c:v>
                </c:pt>
                <c:pt idx="9">
                  <c:v>35.887614547672747</c:v>
                </c:pt>
                <c:pt idx="10">
                  <c:v>35.887614547672747</c:v>
                </c:pt>
                <c:pt idx="11">
                  <c:v>35.887614547672747</c:v>
                </c:pt>
                <c:pt idx="12">
                  <c:v>35.887614547672747</c:v>
                </c:pt>
                <c:pt idx="13">
                  <c:v>35.887614547672747</c:v>
                </c:pt>
                <c:pt idx="14">
                  <c:v>35.887614547672747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C0-4F89-B647-E4AD48FDC5FC}"/>
            </c:ext>
          </c:extLst>
        </c:ser>
        <c:ser>
          <c:idx val="3"/>
          <c:order val="3"/>
          <c:tx>
            <c:strRef>
              <c:f>Grafik!$AL$3</c:f>
              <c:strCache>
                <c:ptCount val="1"/>
                <c:pt idx="0">
                  <c:v>WS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Grafik!$AL$4:$AL$18</c:f>
              <c:numCache>
                <c:formatCode>0.00</c:formatCode>
                <c:ptCount val="15"/>
                <c:pt idx="0">
                  <c:v>40.274444444444434</c:v>
                </c:pt>
                <c:pt idx="1">
                  <c:v>40.274444444444434</c:v>
                </c:pt>
                <c:pt idx="2">
                  <c:v>40.274444444444434</c:v>
                </c:pt>
                <c:pt idx="3">
                  <c:v>40.274444444444434</c:v>
                </c:pt>
                <c:pt idx="4">
                  <c:v>40.274444444444434</c:v>
                </c:pt>
                <c:pt idx="5">
                  <c:v>40.274444444444434</c:v>
                </c:pt>
                <c:pt idx="6">
                  <c:v>40.274444444444434</c:v>
                </c:pt>
                <c:pt idx="7">
                  <c:v>40.274444444444434</c:v>
                </c:pt>
                <c:pt idx="8">
                  <c:v>40.274444444444434</c:v>
                </c:pt>
                <c:pt idx="9">
                  <c:v>40.274444444444434</c:v>
                </c:pt>
                <c:pt idx="10">
                  <c:v>40.274444444444434</c:v>
                </c:pt>
                <c:pt idx="11">
                  <c:v>40.274444444444434</c:v>
                </c:pt>
                <c:pt idx="12">
                  <c:v>40.274444444444434</c:v>
                </c:pt>
                <c:pt idx="13">
                  <c:v>40.274444444444434</c:v>
                </c:pt>
                <c:pt idx="14">
                  <c:v>40.274444444444434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2C0-4F89-B647-E4AD48FDC5FC}"/>
            </c:ext>
          </c:extLst>
        </c:ser>
        <c:ser>
          <c:idx val="4"/>
          <c:order val="4"/>
          <c:tx>
            <c:strRef>
              <c:f>Grafik!$AM$3</c:f>
              <c:strCache>
                <c:ptCount val="1"/>
                <c:pt idx="0">
                  <c:v>WN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val>
            <c:numRef>
              <c:f>Grafik!$AM$4:$AM$18</c:f>
              <c:numCache>
                <c:formatCode>0.00</c:formatCode>
                <c:ptCount val="15"/>
                <c:pt idx="0">
                  <c:v>46.986851851851846</c:v>
                </c:pt>
                <c:pt idx="1">
                  <c:v>46.986851851851846</c:v>
                </c:pt>
                <c:pt idx="2">
                  <c:v>46.986851851851846</c:v>
                </c:pt>
                <c:pt idx="3">
                  <c:v>46.986851851851846</c:v>
                </c:pt>
                <c:pt idx="4">
                  <c:v>46.986851851851846</c:v>
                </c:pt>
                <c:pt idx="5">
                  <c:v>46.986851851851846</c:v>
                </c:pt>
                <c:pt idx="6">
                  <c:v>46.986851851851846</c:v>
                </c:pt>
                <c:pt idx="7">
                  <c:v>46.986851851851846</c:v>
                </c:pt>
                <c:pt idx="8">
                  <c:v>46.986851851851846</c:v>
                </c:pt>
                <c:pt idx="9">
                  <c:v>46.986851851851846</c:v>
                </c:pt>
                <c:pt idx="10">
                  <c:v>46.986851851851846</c:v>
                </c:pt>
                <c:pt idx="11">
                  <c:v>46.986851851851846</c:v>
                </c:pt>
                <c:pt idx="12">
                  <c:v>46.986851851851846</c:v>
                </c:pt>
                <c:pt idx="13">
                  <c:v>46.986851851851846</c:v>
                </c:pt>
                <c:pt idx="14">
                  <c:v>46.986851851851846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2C0-4F89-B647-E4AD48FDC5FC}"/>
            </c:ext>
          </c:extLst>
        </c:ser>
        <c:ser>
          <c:idx val="5"/>
          <c:order val="5"/>
          <c:tx>
            <c:strRef>
              <c:f>Grafik!$AN$3</c:f>
              <c:strCache>
                <c:ptCount val="1"/>
                <c:pt idx="0">
                  <c:v>WB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val>
            <c:numRef>
              <c:f>Grafik!$AN$4:$AN$18</c:f>
              <c:numCache>
                <c:formatCode>0.00</c:formatCode>
                <c:ptCount val="15"/>
                <c:pt idx="0">
                  <c:v>47.00699770801242</c:v>
                </c:pt>
                <c:pt idx="1">
                  <c:v>47.00699770801242</c:v>
                </c:pt>
                <c:pt idx="2">
                  <c:v>47.00699770801242</c:v>
                </c:pt>
                <c:pt idx="3">
                  <c:v>47.00699770801242</c:v>
                </c:pt>
                <c:pt idx="4">
                  <c:v>47.00699770801242</c:v>
                </c:pt>
                <c:pt idx="5">
                  <c:v>47.00699770801242</c:v>
                </c:pt>
                <c:pt idx="6">
                  <c:v>47.00699770801242</c:v>
                </c:pt>
                <c:pt idx="7">
                  <c:v>47.00699770801242</c:v>
                </c:pt>
                <c:pt idx="8">
                  <c:v>47.00699770801242</c:v>
                </c:pt>
                <c:pt idx="9">
                  <c:v>47.00699770801242</c:v>
                </c:pt>
                <c:pt idx="10">
                  <c:v>47.00699770801242</c:v>
                </c:pt>
                <c:pt idx="11">
                  <c:v>47.00699770801242</c:v>
                </c:pt>
                <c:pt idx="12">
                  <c:v>47.00699770801242</c:v>
                </c:pt>
                <c:pt idx="13">
                  <c:v>47.00699770801242</c:v>
                </c:pt>
                <c:pt idx="14">
                  <c:v>47.00699770801242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2C0-4F89-B647-E4AD48FDC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621504"/>
        <c:axId val="1075063392"/>
        <c:extLst/>
      </c:lineChart>
      <c:catAx>
        <c:axId val="121162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063392"/>
        <c:crosses val="autoZero"/>
        <c:auto val="1"/>
        <c:lblAlgn val="ctr"/>
        <c:lblOffset val="100"/>
        <c:noMultiLvlLbl val="0"/>
      </c:catAx>
      <c:valAx>
        <c:axId val="107506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62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82EDAFF-BE70-474D-B7A8-F435B08273FB}"/>
                </a:ext>
              </a:extLst>
            </xdr:cNvPr>
            <xdr:cNvSpPr txBox="1"/>
          </xdr:nvSpPr>
          <xdr:spPr>
            <a:xfrm>
              <a:off x="38261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82EDAFF-BE70-474D-B7A8-F435B08273FB}"/>
                </a:ext>
              </a:extLst>
            </xdr:cNvPr>
            <xdr:cNvSpPr txBox="1"/>
          </xdr:nvSpPr>
          <xdr:spPr>
            <a:xfrm>
              <a:off x="38261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9384434-50C0-48E2-9109-56131B672CA3}"/>
                </a:ext>
              </a:extLst>
            </xdr:cNvPr>
            <xdr:cNvSpPr txBox="1"/>
          </xdr:nvSpPr>
          <xdr:spPr>
            <a:xfrm>
              <a:off x="38261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9384434-50C0-48E2-9109-56131B672CA3}"/>
                </a:ext>
              </a:extLst>
            </xdr:cNvPr>
            <xdr:cNvSpPr txBox="1"/>
          </xdr:nvSpPr>
          <xdr:spPr>
            <a:xfrm>
              <a:off x="38261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ACAD345-0059-4E0C-AA07-2FBE868AE14C}"/>
                </a:ext>
              </a:extLst>
            </xdr:cNvPr>
            <xdr:cNvSpPr txBox="1"/>
          </xdr:nvSpPr>
          <xdr:spPr>
            <a:xfrm>
              <a:off x="10607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ACAD345-0059-4E0C-AA07-2FBE868AE14C}"/>
                </a:ext>
              </a:extLst>
            </xdr:cNvPr>
            <xdr:cNvSpPr txBox="1"/>
          </xdr:nvSpPr>
          <xdr:spPr>
            <a:xfrm>
              <a:off x="10607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C4C1E11A-25DF-4AB4-9DD8-7724BFA9BB29}"/>
                </a:ext>
              </a:extLst>
            </xdr:cNvPr>
            <xdr:cNvSpPr txBox="1"/>
          </xdr:nvSpPr>
          <xdr:spPr>
            <a:xfrm>
              <a:off x="10607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C4C1E11A-25DF-4AB4-9DD8-7724BFA9BB29}"/>
                </a:ext>
              </a:extLst>
            </xdr:cNvPr>
            <xdr:cNvSpPr txBox="1"/>
          </xdr:nvSpPr>
          <xdr:spPr>
            <a:xfrm>
              <a:off x="10607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6CA93F9-7875-449D-91BE-11BE26D38458}"/>
                </a:ext>
              </a:extLst>
            </xdr:cNvPr>
            <xdr:cNvSpPr txBox="1"/>
          </xdr:nvSpPr>
          <xdr:spPr>
            <a:xfrm>
              <a:off x="1717643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6CA93F9-7875-449D-91BE-11BE26D38458}"/>
                </a:ext>
              </a:extLst>
            </xdr:cNvPr>
            <xdr:cNvSpPr txBox="1"/>
          </xdr:nvSpPr>
          <xdr:spPr>
            <a:xfrm>
              <a:off x="1717643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D1081F97-474E-4DD6-B3C6-046ECEDC5AF3}"/>
                </a:ext>
              </a:extLst>
            </xdr:cNvPr>
            <xdr:cNvSpPr txBox="1"/>
          </xdr:nvSpPr>
          <xdr:spPr>
            <a:xfrm>
              <a:off x="1717643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D1081F97-474E-4DD6-B3C6-046ECEDC5AF3}"/>
                </a:ext>
              </a:extLst>
            </xdr:cNvPr>
            <xdr:cNvSpPr txBox="1"/>
          </xdr:nvSpPr>
          <xdr:spPr>
            <a:xfrm>
              <a:off x="1717643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B40BBCDD-CDB9-407C-8CEB-EFB96F062A1C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B40BBCDD-CDB9-407C-8CEB-EFB96F062A1C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B4398241-907E-4638-A140-21235982AC3C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B4398241-907E-4638-A140-21235982AC3C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239B66DA-355F-46F1-9D74-6AA2712093D1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239B66DA-355F-46F1-9D74-6AA2712093D1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3DF728D2-2412-4F78-8EB6-E942ABDB8B30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3DF728D2-2412-4F78-8EB6-E942ABDB8B30}"/>
                </a:ext>
              </a:extLst>
            </xdr:cNvPr>
            <xdr:cNvSpPr txBox="1"/>
          </xdr:nvSpPr>
          <xdr:spPr>
            <a:xfrm>
              <a:off x="2356199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7A05C2EF-43FC-41B6-8C59-9B2F687CCCCC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7A05C2EF-43FC-41B6-8C59-9B2F687CCCCC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36E67309-6247-41C4-8968-2EEFB9FFEE56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36E67309-6247-41C4-8968-2EEFB9FFEE56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B157634B-1069-42D5-9CBE-588C9F4CC4A6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B157634B-1069-42D5-9CBE-588C9F4CC4A6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45</xdr:col>
      <xdr:colOff>252412</xdr:colOff>
      <xdr:row>1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589291A2-6F8A-4A3E-AF0E-88A8C1C04848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589291A2-6F8A-4A3E-AF0E-88A8C1C04848}"/>
                </a:ext>
              </a:extLst>
            </xdr:cNvPr>
            <xdr:cNvSpPr txBox="1"/>
          </xdr:nvSpPr>
          <xdr:spPr>
            <a:xfrm>
              <a:off x="29627512" y="3943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426165</xdr:colOff>
      <xdr:row>20</xdr:row>
      <xdr:rowOff>22682</xdr:rowOff>
    </xdr:from>
    <xdr:to>
      <xdr:col>15</xdr:col>
      <xdr:colOff>399889</xdr:colOff>
      <xdr:row>34</xdr:row>
      <xdr:rowOff>6916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4598F54-7E3E-76A6-F0F1-E0567393B1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510919</xdr:colOff>
      <xdr:row>19</xdr:row>
      <xdr:rowOff>153276</xdr:rowOff>
    </xdr:from>
    <xdr:to>
      <xdr:col>23</xdr:col>
      <xdr:colOff>413845</xdr:colOff>
      <xdr:row>32</xdr:row>
      <xdr:rowOff>83353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9804A6D-6CE6-22DA-BD1E-D09582CD5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503886</xdr:colOff>
      <xdr:row>20</xdr:row>
      <xdr:rowOff>134983</xdr:rowOff>
    </xdr:from>
    <xdr:to>
      <xdr:col>31</xdr:col>
      <xdr:colOff>477610</xdr:colOff>
      <xdr:row>33</xdr:row>
      <xdr:rowOff>108852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47C1939-731B-636F-8B55-BBB937C73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633416</xdr:colOff>
      <xdr:row>20</xdr:row>
      <xdr:rowOff>4</xdr:rowOff>
    </xdr:from>
    <xdr:to>
      <xdr:col>7</xdr:col>
      <xdr:colOff>586783</xdr:colOff>
      <xdr:row>33</xdr:row>
      <xdr:rowOff>163516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79BB7-7FB5-2AFD-B4A0-63CFEDBE94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33216</xdr:colOff>
      <xdr:row>19</xdr:row>
      <xdr:rowOff>133024</xdr:rowOff>
    </xdr:from>
    <xdr:to>
      <xdr:col>39</xdr:col>
      <xdr:colOff>643917</xdr:colOff>
      <xdr:row>33</xdr:row>
      <xdr:rowOff>150630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92A1130-5600-C107-464E-24F2C0B35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AFF6A-C361-433D-ACE1-3D936F94C840}">
  <dimension ref="A1:BG66"/>
  <sheetViews>
    <sheetView topLeftCell="A18" zoomScale="94" workbookViewId="0">
      <selection activeCell="Q22" sqref="Q22"/>
    </sheetView>
  </sheetViews>
  <sheetFormatPr defaultColWidth="8.83203125" defaultRowHeight="15.5" x14ac:dyDescent="0.35"/>
  <cols>
    <col min="1" max="1" width="4.75" style="12" bestFit="1" customWidth="1"/>
    <col min="2" max="2" width="5.1640625" style="12" bestFit="1" customWidth="1"/>
    <col min="3" max="3" width="21" style="12" bestFit="1" customWidth="1"/>
    <col min="4" max="4" width="7.83203125" style="12" bestFit="1" customWidth="1"/>
    <col min="5" max="5" width="9.5" style="12" bestFit="1" customWidth="1"/>
    <col min="6" max="7" width="5.5" style="12" bestFit="1" customWidth="1"/>
    <col min="8" max="8" width="9" style="12" bestFit="1" customWidth="1"/>
    <col min="9" max="9" width="5" style="12" bestFit="1" customWidth="1"/>
    <col min="10" max="10" width="5.5" style="12" bestFit="1" customWidth="1"/>
    <col min="11" max="11" width="4.75" style="12" bestFit="1" customWidth="1"/>
    <col min="12" max="12" width="5.1640625" style="12" bestFit="1" customWidth="1"/>
    <col min="13" max="13" width="18.83203125" style="12" bestFit="1" customWidth="1"/>
    <col min="14" max="14" width="7.83203125" style="12" bestFit="1" customWidth="1"/>
    <col min="15" max="15" width="9.5" style="12" bestFit="1" customWidth="1"/>
    <col min="16" max="16" width="5.5" style="12" bestFit="1" customWidth="1"/>
    <col min="17" max="17" width="6.58203125" style="12" bestFit="1" customWidth="1"/>
    <col min="18" max="18" width="9" style="12" bestFit="1" customWidth="1"/>
    <col min="19" max="19" width="6.25" style="12" bestFit="1" customWidth="1"/>
    <col min="20" max="20" width="7.33203125" style="12" customWidth="1"/>
    <col min="21" max="21" width="4.75" style="12" bestFit="1" customWidth="1"/>
    <col min="22" max="22" width="5.1640625" style="12" bestFit="1" customWidth="1"/>
    <col min="23" max="23" width="18.75" style="12" bestFit="1" customWidth="1"/>
    <col min="24" max="24" width="6.9140625" style="12" bestFit="1" customWidth="1"/>
    <col min="25" max="25" width="9.5" style="12" bestFit="1" customWidth="1"/>
    <col min="26" max="26" width="5.5" style="12" bestFit="1" customWidth="1"/>
    <col min="27" max="27" width="5.58203125" style="12" bestFit="1" customWidth="1"/>
    <col min="28" max="28" width="9" style="12" bestFit="1" customWidth="1"/>
    <col min="29" max="29" width="5.5" style="12" bestFit="1" customWidth="1"/>
    <col min="30" max="30" width="8.83203125" style="12"/>
    <col min="31" max="31" width="4.75" style="12" bestFit="1" customWidth="1"/>
    <col min="32" max="32" width="5.1640625" style="12" bestFit="1" customWidth="1"/>
    <col min="33" max="33" width="23.6640625" style="12" bestFit="1" customWidth="1"/>
    <col min="34" max="34" width="6.5" style="12" bestFit="1" customWidth="1"/>
    <col min="35" max="35" width="8.5" style="12" bestFit="1" customWidth="1"/>
    <col min="36" max="36" width="4.4140625" style="12" bestFit="1" customWidth="1"/>
    <col min="37" max="37" width="5.58203125" style="12" bestFit="1" customWidth="1"/>
    <col min="38" max="38" width="8.9140625" style="12" bestFit="1" customWidth="1"/>
    <col min="39" max="39" width="5.5" style="12" bestFit="1" customWidth="1"/>
    <col min="40" max="40" width="8.83203125" style="12"/>
    <col min="41" max="41" width="4.75" style="12" bestFit="1" customWidth="1"/>
    <col min="42" max="42" width="5.1640625" style="12" bestFit="1" customWidth="1"/>
    <col min="43" max="43" width="18.25" style="12" bestFit="1" customWidth="1"/>
    <col min="44" max="44" width="8.08203125" style="12" bestFit="1" customWidth="1"/>
    <col min="45" max="45" width="9.5" style="12" bestFit="1" customWidth="1"/>
    <col min="46" max="46" width="5.5" style="12" bestFit="1" customWidth="1"/>
    <col min="47" max="47" width="5.5" style="12" customWidth="1"/>
    <col min="48" max="48" width="7.08203125" style="12" bestFit="1" customWidth="1"/>
    <col min="49" max="49" width="5.5" style="12" bestFit="1" customWidth="1"/>
    <col min="50" max="50" width="8.9140625" style="12" bestFit="1" customWidth="1"/>
    <col min="51" max="51" width="5.5" style="12" bestFit="1" customWidth="1"/>
    <col min="52" max="52" width="8.83203125" style="12"/>
    <col min="53" max="53" width="10.25" style="12" bestFit="1" customWidth="1"/>
    <col min="54" max="16384" width="8.83203125" style="12"/>
  </cols>
  <sheetData>
    <row r="1" spans="1:59" x14ac:dyDescent="0.35">
      <c r="AE1"/>
      <c r="AF1"/>
      <c r="AG1"/>
      <c r="AH1"/>
      <c r="AI1"/>
      <c r="AJ1"/>
      <c r="AK1"/>
      <c r="AL1"/>
      <c r="AM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59" x14ac:dyDescent="0.35">
      <c r="B2" s="13"/>
      <c r="C2" s="13" t="s">
        <v>0</v>
      </c>
      <c r="D2" s="13" t="s">
        <v>1</v>
      </c>
      <c r="E2" s="13" t="s">
        <v>17</v>
      </c>
      <c r="F2" s="13"/>
      <c r="L2" s="13"/>
      <c r="M2" s="13" t="s">
        <v>15</v>
      </c>
      <c r="N2" s="13" t="s">
        <v>1</v>
      </c>
      <c r="O2" s="13" t="s">
        <v>17</v>
      </c>
      <c r="P2" s="13"/>
      <c r="V2" s="13"/>
      <c r="W2" s="13" t="s">
        <v>16</v>
      </c>
      <c r="X2" s="13" t="s">
        <v>1</v>
      </c>
      <c r="Y2" s="13" t="s">
        <v>17</v>
      </c>
      <c r="Z2" s="13"/>
      <c r="AE2"/>
      <c r="AF2" s="2"/>
      <c r="AG2" s="2" t="s">
        <v>18</v>
      </c>
      <c r="AH2" s="2" t="s">
        <v>1</v>
      </c>
      <c r="AI2" s="2" t="s">
        <v>2</v>
      </c>
      <c r="AJ2" s="2"/>
      <c r="AK2" s="1"/>
      <c r="AL2" s="1"/>
      <c r="AM2" s="1"/>
      <c r="AO2" s="1"/>
      <c r="AP2" s="2"/>
      <c r="AQ2" s="2" t="s">
        <v>19</v>
      </c>
      <c r="AR2" s="2" t="s">
        <v>1</v>
      </c>
      <c r="AS2" s="32" t="s">
        <v>2</v>
      </c>
      <c r="AT2" s="2"/>
      <c r="AU2" s="33" t="s">
        <v>42</v>
      </c>
      <c r="AV2" s="2" t="s">
        <v>43</v>
      </c>
      <c r="AW2" s="1"/>
      <c r="AX2" s="1"/>
      <c r="AY2" s="1"/>
      <c r="BC2" s="13" t="s">
        <v>25</v>
      </c>
      <c r="BD2" s="13" t="s">
        <v>44</v>
      </c>
      <c r="BE2" s="33" t="s">
        <v>42</v>
      </c>
      <c r="BF2" s="32" t="s">
        <v>43</v>
      </c>
      <c r="BG2" s="2" t="s">
        <v>1</v>
      </c>
    </row>
    <row r="3" spans="1:59" x14ac:dyDescent="0.35">
      <c r="B3" s="13">
        <v>1</v>
      </c>
      <c r="C3" s="14">
        <f>28+(48/60)</f>
        <v>28.8</v>
      </c>
      <c r="D3" s="14">
        <f>C3^2</f>
        <v>829.44</v>
      </c>
      <c r="E3" s="14"/>
      <c r="F3" s="14"/>
      <c r="G3" s="25">
        <f>0.8*60</f>
        <v>48</v>
      </c>
      <c r="H3" s="13" t="s">
        <v>11</v>
      </c>
      <c r="I3" s="14">
        <f>70/60</f>
        <v>1.1666666666666667</v>
      </c>
      <c r="L3" s="13">
        <v>1</v>
      </c>
      <c r="M3" s="27">
        <v>26.58</v>
      </c>
      <c r="N3" s="14">
        <f t="shared" ref="N3:N8" si="0">M3^2</f>
        <v>706.49639999999988</v>
      </c>
      <c r="O3" s="14"/>
      <c r="P3" s="13"/>
      <c r="R3" s="13" t="s">
        <v>11</v>
      </c>
      <c r="S3" s="14">
        <f>70/60</f>
        <v>1.1666666666666667</v>
      </c>
      <c r="V3" s="13">
        <v>1</v>
      </c>
      <c r="W3" s="14">
        <v>20.716666666666665</v>
      </c>
      <c r="X3" s="14">
        <f t="shared" ref="X3:X8" si="1">W3^2</f>
        <v>429.18027777777769</v>
      </c>
      <c r="Y3" s="14"/>
      <c r="Z3" s="13"/>
      <c r="AB3" s="13" t="s">
        <v>11</v>
      </c>
      <c r="AC3" s="15">
        <f>70/60</f>
        <v>1.1666666666666667</v>
      </c>
      <c r="AE3"/>
      <c r="AF3" s="2">
        <v>1</v>
      </c>
      <c r="AG3" s="3">
        <f>9+(8/60)</f>
        <v>9.1333333333333329</v>
      </c>
      <c r="AH3" s="3">
        <f>AG3^2</f>
        <v>83.417777777777772</v>
      </c>
      <c r="AI3" s="3"/>
      <c r="AJ3" s="2"/>
      <c r="AK3" s="1"/>
      <c r="AL3" s="2" t="s">
        <v>11</v>
      </c>
      <c r="AM3" s="10">
        <f>70/60</f>
        <v>1.1666666666666667</v>
      </c>
      <c r="AO3" s="1"/>
      <c r="AP3" s="2">
        <v>1</v>
      </c>
      <c r="AQ3" s="3">
        <f>42+(15/60)</f>
        <v>42.25</v>
      </c>
      <c r="AR3" s="3">
        <f>AQ3^2</f>
        <v>1785.0625</v>
      </c>
      <c r="AS3" s="3"/>
      <c r="AT3" s="2"/>
      <c r="AU3" s="3">
        <f>AQ3-$AT$18</f>
        <v>1.9755555555555659</v>
      </c>
      <c r="AV3" s="3">
        <f>AU3^2</f>
        <v>3.9028197530864608</v>
      </c>
      <c r="AW3" s="1"/>
      <c r="AX3" s="2" t="s">
        <v>11</v>
      </c>
      <c r="AY3" s="10">
        <f>70/60</f>
        <v>1.1666666666666667</v>
      </c>
      <c r="BC3" s="2">
        <v>1</v>
      </c>
      <c r="BD3" s="3">
        <f>42+(15/60)</f>
        <v>42.25</v>
      </c>
      <c r="BE3" s="14">
        <f>AU3</f>
        <v>1.9755555555555659</v>
      </c>
      <c r="BF3" s="14">
        <f>AV3</f>
        <v>3.9028197530864608</v>
      </c>
      <c r="BG3" s="14">
        <f>AR3</f>
        <v>1785.0625</v>
      </c>
    </row>
    <row r="4" spans="1:59" x14ac:dyDescent="0.35">
      <c r="B4" s="13">
        <v>2</v>
      </c>
      <c r="C4" s="14">
        <f>27+(1/60)</f>
        <v>27.016666666666666</v>
      </c>
      <c r="D4" s="14">
        <f t="shared" ref="D4:D16" si="2">C4^2</f>
        <v>729.90027777777777</v>
      </c>
      <c r="E4" s="14"/>
      <c r="F4" s="14"/>
      <c r="G4" s="25">
        <f>0.02*60</f>
        <v>1.2</v>
      </c>
      <c r="H4" s="13" t="s">
        <v>12</v>
      </c>
      <c r="I4" s="13">
        <v>2</v>
      </c>
      <c r="L4" s="13">
        <v>2</v>
      </c>
      <c r="M4" s="14">
        <v>24.4</v>
      </c>
      <c r="N4" s="14">
        <f t="shared" si="0"/>
        <v>595.3599999999999</v>
      </c>
      <c r="O4" s="14"/>
      <c r="P4" s="13"/>
      <c r="R4" s="13" t="s">
        <v>12</v>
      </c>
      <c r="S4" s="13">
        <v>2</v>
      </c>
      <c r="V4" s="13">
        <v>2</v>
      </c>
      <c r="W4" s="14">
        <v>22.95</v>
      </c>
      <c r="X4" s="14">
        <f t="shared" si="1"/>
        <v>526.70249999999999</v>
      </c>
      <c r="Y4" s="14"/>
      <c r="Z4" s="13"/>
      <c r="AB4" s="13" t="s">
        <v>12</v>
      </c>
      <c r="AC4" s="13">
        <v>2</v>
      </c>
      <c r="AE4"/>
      <c r="AF4" s="2">
        <v>2</v>
      </c>
      <c r="AG4" s="3">
        <f>7+(20/60)</f>
        <v>7.333333333333333</v>
      </c>
      <c r="AH4" s="3">
        <f t="shared" ref="AH4:AH10" si="3">AG4^2</f>
        <v>53.777777777777771</v>
      </c>
      <c r="AI4" s="3"/>
      <c r="AJ4" s="2"/>
      <c r="AK4" s="1"/>
      <c r="AL4" s="2" t="s">
        <v>12</v>
      </c>
      <c r="AM4" s="2">
        <v>2</v>
      </c>
      <c r="AO4" s="1"/>
      <c r="AP4" s="2">
        <v>2</v>
      </c>
      <c r="AQ4" s="3">
        <f>42+(8/60)</f>
        <v>42.133333333333333</v>
      </c>
      <c r="AR4" s="3">
        <f t="shared" ref="AR4:AR10" si="4">AQ4^2</f>
        <v>1775.2177777777777</v>
      </c>
      <c r="AS4" s="3"/>
      <c r="AT4" s="2"/>
      <c r="AU4" s="3">
        <f t="shared" ref="AU4:AU17" si="5">AQ4-$AT$18</f>
        <v>1.8588888888888988</v>
      </c>
      <c r="AV4" s="3">
        <f t="shared" ref="AV4:AV17" si="6">AU4^2</f>
        <v>3.4554679012346048</v>
      </c>
      <c r="AW4" s="1"/>
      <c r="AX4" s="2" t="s">
        <v>12</v>
      </c>
      <c r="AY4" s="2">
        <v>2</v>
      </c>
      <c r="BC4" s="2">
        <v>2</v>
      </c>
      <c r="BD4" s="3">
        <f>42+(8/60)</f>
        <v>42.133333333333333</v>
      </c>
      <c r="BE4" s="14">
        <f t="shared" ref="BE4:BF18" si="7">AU4</f>
        <v>1.8588888888888988</v>
      </c>
      <c r="BF4" s="14">
        <f t="shared" si="7"/>
        <v>3.4554679012346048</v>
      </c>
      <c r="BG4" s="14">
        <f t="shared" ref="BG4:BG18" si="8">AR4</f>
        <v>1775.2177777777777</v>
      </c>
    </row>
    <row r="5" spans="1:59" x14ac:dyDescent="0.35">
      <c r="B5" s="13">
        <v>3</v>
      </c>
      <c r="C5" s="14">
        <f>25+(21/60)</f>
        <v>25.35</v>
      </c>
      <c r="D5" s="14">
        <f t="shared" si="2"/>
        <v>642.62250000000006</v>
      </c>
      <c r="E5" s="14"/>
      <c r="F5" s="14"/>
      <c r="G5" s="25">
        <f>0.35*60</f>
        <v>21</v>
      </c>
      <c r="H5" s="13" t="s">
        <v>13</v>
      </c>
      <c r="I5" s="13">
        <v>0.1</v>
      </c>
      <c r="L5" s="13">
        <v>3</v>
      </c>
      <c r="M5" s="27">
        <v>19.3</v>
      </c>
      <c r="N5" s="14">
        <f t="shared" si="0"/>
        <v>372.49</v>
      </c>
      <c r="O5" s="14"/>
      <c r="P5" s="13"/>
      <c r="R5" s="13" t="s">
        <v>13</v>
      </c>
      <c r="S5" s="13">
        <v>0.1</v>
      </c>
      <c r="V5" s="13">
        <v>3</v>
      </c>
      <c r="W5" s="14">
        <v>20.516666666666666</v>
      </c>
      <c r="X5" s="14">
        <f t="shared" si="1"/>
        <v>420.93361111111108</v>
      </c>
      <c r="Y5" s="14"/>
      <c r="Z5" s="13"/>
      <c r="AB5" s="13" t="s">
        <v>13</v>
      </c>
      <c r="AC5" s="13">
        <v>0.1</v>
      </c>
      <c r="AE5"/>
      <c r="AF5" s="2">
        <v>3</v>
      </c>
      <c r="AG5" s="3">
        <f>5+(57/60)</f>
        <v>5.95</v>
      </c>
      <c r="AH5" s="3">
        <f t="shared" si="3"/>
        <v>35.402500000000003</v>
      </c>
      <c r="AI5" s="3"/>
      <c r="AJ5" s="2"/>
      <c r="AK5" s="1"/>
      <c r="AL5" s="2" t="s">
        <v>13</v>
      </c>
      <c r="AM5" s="2">
        <v>0.1</v>
      </c>
      <c r="AO5" s="1"/>
      <c r="AP5" s="2">
        <v>3</v>
      </c>
      <c r="AQ5" s="3">
        <f>38+(41/60)</f>
        <v>38.68333333333333</v>
      </c>
      <c r="AR5" s="3">
        <f t="shared" si="4"/>
        <v>1496.4002777777775</v>
      </c>
      <c r="AS5" s="3"/>
      <c r="AT5" s="2"/>
      <c r="AU5" s="3">
        <f t="shared" si="5"/>
        <v>-1.591111111111104</v>
      </c>
      <c r="AV5" s="3">
        <f t="shared" si="6"/>
        <v>2.5316345679012122</v>
      </c>
      <c r="AW5" s="1"/>
      <c r="AX5" s="2" t="s">
        <v>13</v>
      </c>
      <c r="AY5" s="2">
        <v>0.05</v>
      </c>
      <c r="BC5" s="2">
        <v>3</v>
      </c>
      <c r="BD5" s="3">
        <f>38+(41/60)</f>
        <v>38.68333333333333</v>
      </c>
      <c r="BE5" s="14">
        <f t="shared" si="7"/>
        <v>-1.591111111111104</v>
      </c>
      <c r="BF5" s="14">
        <f t="shared" si="7"/>
        <v>2.5316345679012122</v>
      </c>
      <c r="BG5" s="14">
        <f t="shared" si="8"/>
        <v>1496.4002777777775</v>
      </c>
    </row>
    <row r="6" spans="1:59" x14ac:dyDescent="0.35">
      <c r="B6" s="13">
        <v>4</v>
      </c>
      <c r="C6" s="14">
        <f>26+(9/60)</f>
        <v>26.15</v>
      </c>
      <c r="D6" s="14">
        <f t="shared" si="2"/>
        <v>683.82249999999988</v>
      </c>
      <c r="E6" s="14"/>
      <c r="F6" s="14"/>
      <c r="G6" s="25">
        <f>0.15*60</f>
        <v>9</v>
      </c>
      <c r="H6" s="16" t="s">
        <v>14</v>
      </c>
      <c r="I6" s="44">
        <f>allowance!D9</f>
        <v>4.2857142857142858E-2</v>
      </c>
      <c r="L6" s="13">
        <v>4</v>
      </c>
      <c r="M6" s="14">
        <v>20.05</v>
      </c>
      <c r="N6" s="14">
        <f t="shared" si="0"/>
        <v>402.00250000000005</v>
      </c>
      <c r="O6" s="14"/>
      <c r="P6" s="13"/>
      <c r="R6" s="16" t="s">
        <v>14</v>
      </c>
      <c r="S6" s="44">
        <f>allowance!D9</f>
        <v>4.2857142857142858E-2</v>
      </c>
      <c r="V6" s="13">
        <v>4</v>
      </c>
      <c r="W6" s="14">
        <v>22.933333333333334</v>
      </c>
      <c r="X6" s="14">
        <f t="shared" si="1"/>
        <v>525.9377777777778</v>
      </c>
      <c r="Y6" s="14"/>
      <c r="Z6" s="13"/>
      <c r="AB6" s="16" t="s">
        <v>14</v>
      </c>
      <c r="AC6" s="44">
        <f>allowance!D9</f>
        <v>4.2857142857142858E-2</v>
      </c>
      <c r="AE6"/>
      <c r="AF6" s="2">
        <v>4</v>
      </c>
      <c r="AG6" s="3">
        <f>7+(7/60)</f>
        <v>7.1166666666666663</v>
      </c>
      <c r="AH6" s="3">
        <f t="shared" si="3"/>
        <v>50.646944444444436</v>
      </c>
      <c r="AI6" s="3"/>
      <c r="AJ6" s="2"/>
      <c r="AK6" s="1"/>
      <c r="AL6" s="4" t="s">
        <v>14</v>
      </c>
      <c r="AM6" s="43">
        <f>allowance!D9</f>
        <v>4.2857142857142858E-2</v>
      </c>
      <c r="AO6" s="1"/>
      <c r="AP6" s="2">
        <v>4</v>
      </c>
      <c r="AQ6" s="3">
        <f>35+(51/60)</f>
        <v>35.85</v>
      </c>
      <c r="AR6" s="3">
        <f t="shared" si="4"/>
        <v>1285.2225000000001</v>
      </c>
      <c r="AS6" s="3"/>
      <c r="AT6" s="2"/>
      <c r="AU6" s="3">
        <f t="shared" si="5"/>
        <v>-4.4244444444444326</v>
      </c>
      <c r="AV6" s="3">
        <f t="shared" si="6"/>
        <v>19.575708641975204</v>
      </c>
      <c r="AW6" s="1"/>
      <c r="AX6" s="4" t="s">
        <v>14</v>
      </c>
      <c r="AY6" s="43">
        <f>allowance!D9</f>
        <v>4.2857142857142858E-2</v>
      </c>
      <c r="BC6" s="2">
        <v>4</v>
      </c>
      <c r="BD6" s="3">
        <f>35+(51/60)</f>
        <v>35.85</v>
      </c>
      <c r="BE6" s="14">
        <f t="shared" si="7"/>
        <v>-4.4244444444444326</v>
      </c>
      <c r="BF6" s="14">
        <f t="shared" si="7"/>
        <v>19.575708641975204</v>
      </c>
      <c r="BG6" s="14">
        <f t="shared" si="8"/>
        <v>1285.2225000000001</v>
      </c>
    </row>
    <row r="7" spans="1:59" x14ac:dyDescent="0.35">
      <c r="B7" s="13">
        <v>5</v>
      </c>
      <c r="C7" s="14">
        <f>29+(35/60)</f>
        <v>29.583333333333332</v>
      </c>
      <c r="D7" s="14">
        <f t="shared" si="2"/>
        <v>875.17361111111109</v>
      </c>
      <c r="E7" s="14"/>
      <c r="F7" s="14"/>
      <c r="G7" s="25">
        <f>0.58*60</f>
        <v>34.799999999999997</v>
      </c>
      <c r="L7" s="13">
        <v>5</v>
      </c>
      <c r="M7" s="14">
        <v>21.75</v>
      </c>
      <c r="N7" s="14">
        <f t="shared" si="0"/>
        <v>473.0625</v>
      </c>
      <c r="O7" s="14"/>
      <c r="P7" s="13"/>
      <c r="V7" s="13">
        <v>5</v>
      </c>
      <c r="W7" s="14">
        <v>23.833333333333332</v>
      </c>
      <c r="X7" s="14">
        <f t="shared" si="1"/>
        <v>568.02777777777771</v>
      </c>
      <c r="Y7" s="14"/>
      <c r="Z7" s="13"/>
      <c r="AE7"/>
      <c r="AF7" s="2">
        <v>5</v>
      </c>
      <c r="AG7" s="3">
        <f>6+(50/60)</f>
        <v>6.833333333333333</v>
      </c>
      <c r="AH7" s="3">
        <f t="shared" si="3"/>
        <v>46.694444444444443</v>
      </c>
      <c r="AI7" s="3"/>
      <c r="AJ7" s="2"/>
      <c r="AK7" s="1"/>
      <c r="AL7" s="1"/>
      <c r="AM7" s="1"/>
      <c r="AO7" s="1"/>
      <c r="AP7" s="2">
        <v>5</v>
      </c>
      <c r="AQ7" s="3">
        <f>36+(40/60)</f>
        <v>36.666666666666664</v>
      </c>
      <c r="AR7" s="3">
        <f t="shared" si="4"/>
        <v>1344.4444444444443</v>
      </c>
      <c r="AS7" s="3"/>
      <c r="AT7" s="2"/>
      <c r="AU7" s="3">
        <f t="shared" si="5"/>
        <v>-3.6077777777777698</v>
      </c>
      <c r="AV7" s="3">
        <f t="shared" si="6"/>
        <v>13.016060493827103</v>
      </c>
      <c r="AW7" s="1"/>
      <c r="AX7" s="1"/>
      <c r="AY7" s="1"/>
      <c r="BC7" s="2">
        <v>5</v>
      </c>
      <c r="BD7" s="3">
        <f>36+(40/60)</f>
        <v>36.666666666666664</v>
      </c>
      <c r="BE7" s="14">
        <f t="shared" si="7"/>
        <v>-3.6077777777777698</v>
      </c>
      <c r="BF7" s="14">
        <f t="shared" si="7"/>
        <v>13.016060493827103</v>
      </c>
      <c r="BG7" s="14">
        <f t="shared" si="8"/>
        <v>1344.4444444444443</v>
      </c>
    </row>
    <row r="8" spans="1:59" x14ac:dyDescent="0.35">
      <c r="B8" s="13">
        <v>6</v>
      </c>
      <c r="C8" s="14">
        <f>25+(22/60)</f>
        <v>25.366666666666667</v>
      </c>
      <c r="D8" s="14">
        <f t="shared" si="2"/>
        <v>643.46777777777777</v>
      </c>
      <c r="E8" s="14"/>
      <c r="F8" s="14"/>
      <c r="G8" s="25">
        <f>0.37*60</f>
        <v>22.2</v>
      </c>
      <c r="L8" s="13">
        <v>6</v>
      </c>
      <c r="M8" s="14">
        <v>23.166666666666668</v>
      </c>
      <c r="N8" s="14">
        <f t="shared" si="0"/>
        <v>536.69444444444446</v>
      </c>
      <c r="O8" s="14"/>
      <c r="P8" s="13"/>
      <c r="V8" s="13">
        <v>6</v>
      </c>
      <c r="W8" s="14">
        <v>23.533333333333335</v>
      </c>
      <c r="X8" s="14">
        <f t="shared" si="1"/>
        <v>553.81777777777791</v>
      </c>
      <c r="Y8" s="14"/>
      <c r="Z8" s="13"/>
      <c r="AE8"/>
      <c r="AF8" s="2">
        <v>6</v>
      </c>
      <c r="AG8" s="3">
        <f>7+(36/60)</f>
        <v>7.6</v>
      </c>
      <c r="AH8" s="3">
        <f t="shared" si="3"/>
        <v>57.76</v>
      </c>
      <c r="AI8" s="3"/>
      <c r="AJ8" s="2"/>
      <c r="AK8" s="1"/>
      <c r="AL8" s="1"/>
      <c r="AM8" s="1"/>
      <c r="AO8" s="1"/>
      <c r="AP8" s="2">
        <v>6</v>
      </c>
      <c r="AQ8" s="3">
        <f>42+(12/60)</f>
        <v>42.2</v>
      </c>
      <c r="AR8" s="3">
        <f t="shared" si="4"/>
        <v>1780.8400000000001</v>
      </c>
      <c r="AS8" s="3"/>
      <c r="AT8" s="2"/>
      <c r="AU8" s="3">
        <f t="shared" si="5"/>
        <v>1.9255555555555688</v>
      </c>
      <c r="AV8" s="3">
        <f t="shared" si="6"/>
        <v>3.7077641975309152</v>
      </c>
      <c r="AW8" s="1"/>
      <c r="AX8" s="1"/>
      <c r="AY8" s="1"/>
      <c r="BC8" s="2">
        <v>6</v>
      </c>
      <c r="BD8" s="3">
        <f>42+(12/60)</f>
        <v>42.2</v>
      </c>
      <c r="BE8" s="14">
        <f t="shared" si="7"/>
        <v>1.9255555555555688</v>
      </c>
      <c r="BF8" s="14">
        <f t="shared" si="7"/>
        <v>3.7077641975309152</v>
      </c>
      <c r="BG8" s="14">
        <f t="shared" si="8"/>
        <v>1780.8400000000001</v>
      </c>
    </row>
    <row r="9" spans="1:59" x14ac:dyDescent="0.35">
      <c r="B9" s="13">
        <v>7</v>
      </c>
      <c r="C9" s="14">
        <f>29+(0/60)</f>
        <v>29</v>
      </c>
      <c r="D9" s="17">
        <f t="shared" si="2"/>
        <v>841</v>
      </c>
      <c r="E9" s="14"/>
      <c r="F9" s="14"/>
      <c r="G9" s="25">
        <f>0*60</f>
        <v>0</v>
      </c>
      <c r="L9" s="13">
        <v>7</v>
      </c>
      <c r="M9" s="14">
        <v>20.350000000000001</v>
      </c>
      <c r="N9" s="14">
        <f t="shared" ref="N9:N17" si="9">M9^2</f>
        <v>414.12250000000006</v>
      </c>
      <c r="O9" s="14"/>
      <c r="P9" s="13"/>
      <c r="V9" s="13">
        <v>7</v>
      </c>
      <c r="W9" s="14">
        <v>20.95</v>
      </c>
      <c r="X9" s="14">
        <f t="shared" ref="X9:X17" si="10">W9^2</f>
        <v>438.90249999999997</v>
      </c>
      <c r="Y9" s="14"/>
      <c r="Z9" s="13"/>
      <c r="AE9"/>
      <c r="AF9" s="2">
        <v>7</v>
      </c>
      <c r="AG9" s="3">
        <f>8+(1/60)</f>
        <v>8.0166666666666675</v>
      </c>
      <c r="AH9" s="3">
        <f t="shared" si="3"/>
        <v>64.266944444444462</v>
      </c>
      <c r="AI9" s="3"/>
      <c r="AJ9" s="2"/>
      <c r="AK9" s="1"/>
      <c r="AL9" s="1"/>
      <c r="AM9" s="1"/>
      <c r="AO9" s="1"/>
      <c r="AP9" s="2">
        <v>7</v>
      </c>
      <c r="AQ9" s="3">
        <f>40+(54/60)</f>
        <v>40.9</v>
      </c>
      <c r="AR9" s="3">
        <f t="shared" si="4"/>
        <v>1672.81</v>
      </c>
      <c r="AS9" s="3"/>
      <c r="AT9" s="2"/>
      <c r="AU9" s="3">
        <f t="shared" si="5"/>
        <v>0.62555555555556452</v>
      </c>
      <c r="AV9" s="3">
        <f t="shared" si="6"/>
        <v>0.39131975308643097</v>
      </c>
      <c r="AW9" s="1"/>
      <c r="AX9" s="1"/>
      <c r="AY9" s="1"/>
      <c r="BC9" s="2">
        <v>7</v>
      </c>
      <c r="BD9" s="3">
        <f>40+(54/60)</f>
        <v>40.9</v>
      </c>
      <c r="BE9" s="14">
        <f t="shared" si="7"/>
        <v>0.62555555555556452</v>
      </c>
      <c r="BF9" s="14">
        <f t="shared" si="7"/>
        <v>0.39131975308643097</v>
      </c>
      <c r="BG9" s="14">
        <f t="shared" si="8"/>
        <v>1672.81</v>
      </c>
    </row>
    <row r="10" spans="1:59" x14ac:dyDescent="0.35">
      <c r="B10" s="13">
        <v>8</v>
      </c>
      <c r="C10" s="14">
        <f>25+(47/60)</f>
        <v>25.783333333333335</v>
      </c>
      <c r="D10" s="17">
        <f t="shared" si="2"/>
        <v>664.78027777777788</v>
      </c>
      <c r="E10" s="14"/>
      <c r="F10" s="14"/>
      <c r="G10" s="25">
        <f>0.78*60</f>
        <v>46.800000000000004</v>
      </c>
      <c r="I10" s="19"/>
      <c r="L10" s="13">
        <v>8</v>
      </c>
      <c r="M10" s="14">
        <v>19.183333333333302</v>
      </c>
      <c r="N10" s="14">
        <f t="shared" si="9"/>
        <v>368.00027777777655</v>
      </c>
      <c r="O10" s="14"/>
      <c r="P10" s="13"/>
      <c r="V10" s="13">
        <v>8</v>
      </c>
      <c r="W10" s="14">
        <v>19.866666666666667</v>
      </c>
      <c r="X10" s="14">
        <f t="shared" si="10"/>
        <v>394.68444444444447</v>
      </c>
      <c r="Y10" s="14"/>
      <c r="Z10" s="13"/>
      <c r="AF10" s="2">
        <v>8</v>
      </c>
      <c r="AG10" s="3">
        <f>7+(26/60)</f>
        <v>7.4333333333333336</v>
      </c>
      <c r="AH10" s="3">
        <f t="shared" si="3"/>
        <v>55.254444444444445</v>
      </c>
      <c r="AI10" s="3"/>
      <c r="AJ10" s="2"/>
      <c r="AK10" s="1"/>
      <c r="AL10" s="1"/>
      <c r="AM10" s="1"/>
      <c r="AO10" s="1"/>
      <c r="AP10" s="2">
        <v>8</v>
      </c>
      <c r="AQ10" s="3">
        <f>40+(39/60)</f>
        <v>40.65</v>
      </c>
      <c r="AR10" s="3">
        <f t="shared" si="4"/>
        <v>1652.4224999999999</v>
      </c>
      <c r="AS10" s="3"/>
      <c r="AT10" s="2"/>
      <c r="AU10" s="3">
        <f t="shared" si="5"/>
        <v>0.37555555555556452</v>
      </c>
      <c r="AV10" s="3">
        <f t="shared" si="6"/>
        <v>0.1410419753086487</v>
      </c>
      <c r="AW10" s="1"/>
      <c r="AX10" s="1"/>
      <c r="AY10" s="1"/>
      <c r="BC10" s="2">
        <v>8</v>
      </c>
      <c r="BD10" s="3">
        <f>40+(39/60)</f>
        <v>40.65</v>
      </c>
      <c r="BE10" s="14">
        <f t="shared" si="7"/>
        <v>0.37555555555556452</v>
      </c>
      <c r="BF10" s="14">
        <f t="shared" si="7"/>
        <v>0.1410419753086487</v>
      </c>
      <c r="BG10" s="14">
        <f t="shared" si="8"/>
        <v>1652.4224999999999</v>
      </c>
    </row>
    <row r="11" spans="1:59" x14ac:dyDescent="0.35">
      <c r="B11" s="18">
        <v>9</v>
      </c>
      <c r="C11" s="14">
        <f>29+(27/60)</f>
        <v>29.45</v>
      </c>
      <c r="D11" s="17">
        <f t="shared" si="2"/>
        <v>867.30250000000001</v>
      </c>
      <c r="E11" s="17"/>
      <c r="F11" s="14"/>
      <c r="G11" s="25">
        <f>0.45*60</f>
        <v>27</v>
      </c>
      <c r="L11" s="18">
        <v>9</v>
      </c>
      <c r="M11" s="14">
        <v>21.65</v>
      </c>
      <c r="N11" s="14">
        <f t="shared" si="9"/>
        <v>468.72249999999991</v>
      </c>
      <c r="O11" s="14"/>
      <c r="P11" s="18"/>
      <c r="V11" s="18">
        <v>9</v>
      </c>
      <c r="W11" s="14">
        <v>22.283333333333335</v>
      </c>
      <c r="X11" s="14">
        <f t="shared" si="10"/>
        <v>496.54694444444453</v>
      </c>
      <c r="Y11" s="14"/>
      <c r="Z11" s="18"/>
      <c r="AE11"/>
      <c r="AF11" s="6">
        <v>9</v>
      </c>
      <c r="AG11" s="3">
        <f>8+(18/60)</f>
        <v>8.3000000000000007</v>
      </c>
      <c r="AH11" s="5">
        <f>AG11^2</f>
        <v>68.890000000000015</v>
      </c>
      <c r="AI11" s="5"/>
      <c r="AJ11" s="6"/>
      <c r="AK11" s="1"/>
      <c r="AL11" s="1"/>
      <c r="AM11" s="1"/>
      <c r="AO11" s="1"/>
      <c r="AP11" s="6">
        <v>9</v>
      </c>
      <c r="AQ11" s="3">
        <f>41+(59/60)</f>
        <v>41.983333333333334</v>
      </c>
      <c r="AR11" s="5">
        <f>AQ11^2</f>
        <v>1762.6002777777778</v>
      </c>
      <c r="AS11" s="5"/>
      <c r="AT11" s="6"/>
      <c r="AU11" s="3">
        <f t="shared" si="5"/>
        <v>1.7088888888889002</v>
      </c>
      <c r="AV11" s="3">
        <f t="shared" si="6"/>
        <v>2.92030123456794</v>
      </c>
      <c r="AW11" s="1"/>
      <c r="AX11" s="1"/>
      <c r="AY11" s="1"/>
      <c r="BC11" s="2">
        <v>9</v>
      </c>
      <c r="BD11" s="3">
        <f>41+(59/60)</f>
        <v>41.983333333333334</v>
      </c>
      <c r="BE11" s="14">
        <f t="shared" si="7"/>
        <v>1.7088888888889002</v>
      </c>
      <c r="BF11" s="14">
        <f t="shared" si="7"/>
        <v>2.92030123456794</v>
      </c>
      <c r="BG11" s="14">
        <f t="shared" si="8"/>
        <v>1762.6002777777778</v>
      </c>
    </row>
    <row r="12" spans="1:59" x14ac:dyDescent="0.35">
      <c r="A12" s="12" t="s">
        <v>23</v>
      </c>
      <c r="B12" s="13">
        <v>10</v>
      </c>
      <c r="C12" s="14">
        <f>23+(47/60)</f>
        <v>23.783333333333335</v>
      </c>
      <c r="D12" s="17">
        <f>C12^2</f>
        <v>565.64694444444456</v>
      </c>
      <c r="E12" s="17"/>
      <c r="F12" s="14"/>
      <c r="G12" s="25">
        <f>0.78*60</f>
        <v>46.800000000000004</v>
      </c>
      <c r="K12" s="12" t="s">
        <v>23</v>
      </c>
      <c r="L12" s="13">
        <v>10</v>
      </c>
      <c r="M12" s="14">
        <v>25.283333333333335</v>
      </c>
      <c r="N12" s="14">
        <f t="shared" si="9"/>
        <v>639.24694444444458</v>
      </c>
      <c r="O12" s="14"/>
      <c r="P12" s="18"/>
      <c r="Q12" s="19"/>
      <c r="U12" s="12" t="s">
        <v>23</v>
      </c>
      <c r="V12" s="13">
        <v>10</v>
      </c>
      <c r="W12" s="14">
        <v>24.483333333333334</v>
      </c>
      <c r="X12" s="14">
        <f t="shared" si="10"/>
        <v>599.43361111111119</v>
      </c>
      <c r="Y12" s="14"/>
      <c r="Z12" s="18"/>
      <c r="AA12" s="19"/>
      <c r="AE12" t="s">
        <v>23</v>
      </c>
      <c r="AF12" s="2">
        <v>10</v>
      </c>
      <c r="AG12" s="3">
        <f>10+(42/60)</f>
        <v>10.7</v>
      </c>
      <c r="AH12" s="5">
        <f t="shared" ref="AH12:AH17" si="11">AG12^2</f>
        <v>114.48999999999998</v>
      </c>
      <c r="AI12" s="5"/>
      <c r="AJ12" s="6"/>
      <c r="AK12" s="8"/>
      <c r="AL12" s="1"/>
      <c r="AM12" s="1"/>
      <c r="AO12" s="1" t="s">
        <v>23</v>
      </c>
      <c r="AP12" s="2">
        <v>10</v>
      </c>
      <c r="AQ12" s="3">
        <f>42+(26/60)</f>
        <v>42.43333333333333</v>
      </c>
      <c r="AR12" s="5">
        <f t="shared" ref="AR12:AR16" si="12">AQ12^2</f>
        <v>1800.5877777777775</v>
      </c>
      <c r="AS12" s="5"/>
      <c r="AT12" s="6"/>
      <c r="AU12" s="3">
        <f t="shared" si="5"/>
        <v>2.158888888888896</v>
      </c>
      <c r="AV12" s="3">
        <f t="shared" si="6"/>
        <v>4.6608012345679315</v>
      </c>
      <c r="AW12" s="8"/>
      <c r="AX12" s="1"/>
      <c r="AY12" s="1"/>
      <c r="BC12" s="2">
        <v>10</v>
      </c>
      <c r="BD12" s="3">
        <f>42+(26/60)</f>
        <v>42.43333333333333</v>
      </c>
      <c r="BE12" s="14">
        <f t="shared" si="7"/>
        <v>2.158888888888896</v>
      </c>
      <c r="BF12" s="14">
        <f t="shared" si="7"/>
        <v>4.6608012345679315</v>
      </c>
      <c r="BG12" s="14">
        <f t="shared" si="8"/>
        <v>1800.5877777777775</v>
      </c>
    </row>
    <row r="13" spans="1:59" x14ac:dyDescent="0.35">
      <c r="B13" s="18">
        <v>11</v>
      </c>
      <c r="C13" s="14">
        <f>21+(39/60)</f>
        <v>21.65</v>
      </c>
      <c r="D13" s="17">
        <f t="shared" si="2"/>
        <v>468.72249999999991</v>
      </c>
      <c r="E13" s="17"/>
      <c r="F13" s="14"/>
      <c r="G13" s="25">
        <f>0.65*60</f>
        <v>39</v>
      </c>
      <c r="L13" s="18">
        <v>11</v>
      </c>
      <c r="M13" s="14">
        <v>20.383333333333333</v>
      </c>
      <c r="N13" s="14">
        <f t="shared" si="9"/>
        <v>415.48027777777776</v>
      </c>
      <c r="O13" s="14"/>
      <c r="P13" s="18"/>
      <c r="Q13" s="19"/>
      <c r="V13" s="18">
        <v>11</v>
      </c>
      <c r="W13" s="14">
        <v>19.45</v>
      </c>
      <c r="X13" s="14">
        <f t="shared" si="10"/>
        <v>378.30249999999995</v>
      </c>
      <c r="Y13" s="14"/>
      <c r="Z13" s="18"/>
      <c r="AA13" s="19"/>
      <c r="AE13"/>
      <c r="AF13" s="6">
        <v>11</v>
      </c>
      <c r="AG13" s="3">
        <f>10+(54/60)</f>
        <v>10.9</v>
      </c>
      <c r="AH13" s="5">
        <f t="shared" si="11"/>
        <v>118.81</v>
      </c>
      <c r="AI13" s="5"/>
      <c r="AJ13" s="6"/>
      <c r="AK13" s="8"/>
      <c r="AL13" s="1"/>
      <c r="AM13" s="1"/>
      <c r="AO13" s="1"/>
      <c r="AP13" s="6">
        <v>11</v>
      </c>
      <c r="AQ13" s="3">
        <f>36+(58/60)</f>
        <v>36.966666666666669</v>
      </c>
      <c r="AR13" s="5">
        <f t="shared" si="12"/>
        <v>1366.5344444444445</v>
      </c>
      <c r="AS13" s="5"/>
      <c r="AT13" s="6"/>
      <c r="AU13" s="3">
        <f t="shared" si="5"/>
        <v>-3.3077777777777655</v>
      </c>
      <c r="AV13" s="3">
        <f t="shared" si="6"/>
        <v>10.941393827160413</v>
      </c>
      <c r="AW13" s="8"/>
      <c r="AX13" s="1"/>
      <c r="AY13" s="1"/>
      <c r="BC13" s="2">
        <v>11</v>
      </c>
      <c r="BD13" s="3">
        <f>36+(58/60)</f>
        <v>36.966666666666669</v>
      </c>
      <c r="BE13" s="14">
        <f t="shared" si="7"/>
        <v>-3.3077777777777655</v>
      </c>
      <c r="BF13" s="14">
        <f t="shared" si="7"/>
        <v>10.941393827160413</v>
      </c>
      <c r="BG13" s="14">
        <f t="shared" si="8"/>
        <v>1366.5344444444445</v>
      </c>
    </row>
    <row r="14" spans="1:59" x14ac:dyDescent="0.35">
      <c r="B14" s="13">
        <v>12</v>
      </c>
      <c r="C14" s="14">
        <f>23+(38/60)</f>
        <v>23.633333333333333</v>
      </c>
      <c r="D14" s="17">
        <f t="shared" si="2"/>
        <v>558.53444444444438</v>
      </c>
      <c r="E14" s="17"/>
      <c r="F14" s="14"/>
      <c r="G14" s="25">
        <f>0.63*60</f>
        <v>37.799999999999997</v>
      </c>
      <c r="L14" s="13">
        <v>12</v>
      </c>
      <c r="M14" s="14">
        <v>22.966666666666665</v>
      </c>
      <c r="N14" s="14">
        <f t="shared" si="9"/>
        <v>527.46777777777766</v>
      </c>
      <c r="O14" s="14"/>
      <c r="P14" s="18"/>
      <c r="Q14" s="19"/>
      <c r="V14" s="13">
        <v>12</v>
      </c>
      <c r="W14" s="14">
        <v>22.5</v>
      </c>
      <c r="X14" s="14">
        <f t="shared" si="10"/>
        <v>506.25</v>
      </c>
      <c r="Y14" s="14"/>
      <c r="Z14" s="18"/>
      <c r="AA14" s="19"/>
      <c r="AB14" s="19"/>
      <c r="AE14"/>
      <c r="AF14" s="2">
        <v>12</v>
      </c>
      <c r="AG14" s="3">
        <f>6+(26/60)</f>
        <v>6.4333333333333336</v>
      </c>
      <c r="AH14" s="5">
        <f t="shared" si="11"/>
        <v>41.387777777777778</v>
      </c>
      <c r="AI14" s="5"/>
      <c r="AJ14" s="6"/>
      <c r="AK14" s="8"/>
      <c r="AL14" s="1"/>
      <c r="AM14" s="1"/>
      <c r="AO14" s="1"/>
      <c r="AP14" s="2">
        <v>12</v>
      </c>
      <c r="AQ14" s="3">
        <f>42+(14/60)</f>
        <v>42.233333333333334</v>
      </c>
      <c r="AR14" s="5">
        <f t="shared" si="12"/>
        <v>1783.6544444444446</v>
      </c>
      <c r="AS14" s="5"/>
      <c r="AT14" s="6"/>
      <c r="AU14" s="3">
        <f t="shared" si="5"/>
        <v>1.9588888888889002</v>
      </c>
      <c r="AV14" s="3">
        <f t="shared" si="6"/>
        <v>3.8372456790123901</v>
      </c>
      <c r="AW14" s="8"/>
      <c r="AX14" s="1"/>
      <c r="AY14" s="1"/>
      <c r="BC14" s="2">
        <v>12</v>
      </c>
      <c r="BD14" s="3">
        <f>42+(14/60)</f>
        <v>42.233333333333334</v>
      </c>
      <c r="BE14" s="14">
        <f t="shared" si="7"/>
        <v>1.9588888888889002</v>
      </c>
      <c r="BF14" s="14">
        <f t="shared" si="7"/>
        <v>3.8372456790123901</v>
      </c>
      <c r="BG14" s="14">
        <f t="shared" si="8"/>
        <v>1783.6544444444446</v>
      </c>
    </row>
    <row r="15" spans="1:59" x14ac:dyDescent="0.35">
      <c r="B15" s="18">
        <v>13</v>
      </c>
      <c r="C15" s="14">
        <f>40+(46/60)</f>
        <v>40.766666666666666</v>
      </c>
      <c r="D15" s="17">
        <f t="shared" si="2"/>
        <v>1661.921111111111</v>
      </c>
      <c r="E15" s="17"/>
      <c r="F15" s="14"/>
      <c r="G15" s="25">
        <f>0.77*60</f>
        <v>46.2</v>
      </c>
      <c r="L15" s="18">
        <v>13</v>
      </c>
      <c r="M15" s="14">
        <v>20.066666666666698</v>
      </c>
      <c r="N15" s="14">
        <f t="shared" si="9"/>
        <v>402.6711111111124</v>
      </c>
      <c r="O15" s="14"/>
      <c r="P15" s="18"/>
      <c r="V15" s="18">
        <v>13</v>
      </c>
      <c r="W15" s="14">
        <v>23.666666666666668</v>
      </c>
      <c r="X15" s="14">
        <f t="shared" si="10"/>
        <v>560.1111111111112</v>
      </c>
      <c r="Y15" s="14"/>
      <c r="Z15" s="18"/>
      <c r="AB15" s="19"/>
      <c r="AE15"/>
      <c r="AF15" s="6">
        <v>13</v>
      </c>
      <c r="AG15" s="3">
        <f>6+(47/60)</f>
        <v>6.7833333333333332</v>
      </c>
      <c r="AH15" s="5">
        <f t="shared" si="11"/>
        <v>46.013611111111111</v>
      </c>
      <c r="AI15" s="5"/>
      <c r="AJ15" s="6"/>
      <c r="AK15" s="1"/>
      <c r="AL15" s="1"/>
      <c r="AM15" s="1"/>
      <c r="AO15" s="1"/>
      <c r="AP15" s="6">
        <v>13</v>
      </c>
      <c r="AQ15" s="3">
        <f>41+(36/60)</f>
        <v>41.6</v>
      </c>
      <c r="AR15" s="5">
        <f t="shared" si="12"/>
        <v>1730.5600000000002</v>
      </c>
      <c r="AS15" s="5"/>
      <c r="AT15" s="6"/>
      <c r="AU15" s="3">
        <f t="shared" si="5"/>
        <v>1.3255555555555674</v>
      </c>
      <c r="AV15" s="3">
        <f t="shared" si="6"/>
        <v>1.7570975308642289</v>
      </c>
      <c r="AW15" s="1"/>
      <c r="AX15" s="1"/>
      <c r="AY15" s="1"/>
      <c r="BC15" s="2">
        <v>13</v>
      </c>
      <c r="BD15" s="3">
        <f>41+(36/60)</f>
        <v>41.6</v>
      </c>
      <c r="BE15" s="14">
        <f t="shared" si="7"/>
        <v>1.3255555555555674</v>
      </c>
      <c r="BF15" s="14">
        <f t="shared" si="7"/>
        <v>1.7570975308642289</v>
      </c>
      <c r="BG15" s="14">
        <f t="shared" si="8"/>
        <v>1730.5600000000002</v>
      </c>
    </row>
    <row r="16" spans="1:59" x14ac:dyDescent="0.35">
      <c r="B16" s="13">
        <v>14</v>
      </c>
      <c r="C16" s="14">
        <f>22+(6/60)</f>
        <v>22.1</v>
      </c>
      <c r="D16" s="17">
        <f t="shared" si="2"/>
        <v>488.41000000000008</v>
      </c>
      <c r="E16" s="17"/>
      <c r="F16" s="14"/>
      <c r="G16" s="25">
        <f>0.1*60</f>
        <v>6</v>
      </c>
      <c r="L16" s="13">
        <v>14</v>
      </c>
      <c r="M16" s="14">
        <v>19.149999999999999</v>
      </c>
      <c r="N16" s="14">
        <f t="shared" si="9"/>
        <v>366.72249999999997</v>
      </c>
      <c r="O16" s="14"/>
      <c r="P16" s="18"/>
      <c r="V16" s="13">
        <v>14</v>
      </c>
      <c r="W16" s="14">
        <v>21.7</v>
      </c>
      <c r="X16" s="14">
        <f t="shared" si="10"/>
        <v>470.89</v>
      </c>
      <c r="Y16" s="14"/>
      <c r="Z16" s="18"/>
      <c r="AE16"/>
      <c r="AF16" s="2">
        <v>14</v>
      </c>
      <c r="AG16" s="3">
        <f>6+(8/60)</f>
        <v>6.1333333333333337</v>
      </c>
      <c r="AH16" s="5">
        <f t="shared" si="11"/>
        <v>37.617777777777782</v>
      </c>
      <c r="AI16" s="5"/>
      <c r="AJ16" s="6"/>
      <c r="AK16" s="1"/>
      <c r="AL16" s="1"/>
      <c r="AM16" s="1"/>
      <c r="AO16" s="1"/>
      <c r="AP16" s="2">
        <v>14</v>
      </c>
      <c r="AQ16" s="3">
        <f>39+(8/60)</f>
        <v>39.133333333333333</v>
      </c>
      <c r="AR16" s="5">
        <f t="shared" si="12"/>
        <v>1531.4177777777777</v>
      </c>
      <c r="AS16" s="5"/>
      <c r="AT16" s="6"/>
      <c r="AU16" s="3">
        <f t="shared" si="5"/>
        <v>-1.1411111111111012</v>
      </c>
      <c r="AV16" s="3">
        <f t="shared" si="6"/>
        <v>1.302134567901212</v>
      </c>
      <c r="AW16" s="1"/>
      <c r="AX16" s="1"/>
      <c r="AY16" s="1"/>
      <c r="BC16" s="2">
        <v>14</v>
      </c>
      <c r="BD16" s="3">
        <f>39+(8/60)</f>
        <v>39.133333333333333</v>
      </c>
      <c r="BE16" s="14">
        <f t="shared" si="7"/>
        <v>-1.1411111111111012</v>
      </c>
      <c r="BF16" s="14">
        <f t="shared" si="7"/>
        <v>1.302134567901212</v>
      </c>
      <c r="BG16" s="14">
        <f t="shared" si="8"/>
        <v>1531.4177777777777</v>
      </c>
    </row>
    <row r="17" spans="2:59" x14ac:dyDescent="0.35">
      <c r="B17" s="18">
        <v>15</v>
      </c>
      <c r="C17" s="14">
        <f>23+(15/60)</f>
        <v>23.25</v>
      </c>
      <c r="D17" s="17">
        <f>C17^2</f>
        <v>540.5625</v>
      </c>
      <c r="E17" s="17"/>
      <c r="F17" s="14"/>
      <c r="G17" s="25">
        <f>0.25*60</f>
        <v>15</v>
      </c>
      <c r="L17" s="13">
        <v>15</v>
      </c>
      <c r="M17" s="14">
        <v>24.816666666666698</v>
      </c>
      <c r="N17" s="14">
        <f t="shared" si="9"/>
        <v>615.86694444444606</v>
      </c>
      <c r="O17" s="14"/>
      <c r="P17" s="18"/>
      <c r="V17" s="18">
        <v>15</v>
      </c>
      <c r="W17" s="14">
        <v>21.683333333333334</v>
      </c>
      <c r="X17" s="14">
        <f t="shared" si="10"/>
        <v>470.16694444444448</v>
      </c>
      <c r="Y17" s="14"/>
      <c r="Z17" s="18"/>
      <c r="AE17"/>
      <c r="AF17" s="6">
        <v>15</v>
      </c>
      <c r="AG17" s="3">
        <f>9+(15/60)</f>
        <v>9.25</v>
      </c>
      <c r="AH17" s="5">
        <f t="shared" si="11"/>
        <v>85.5625</v>
      </c>
      <c r="AI17" s="5"/>
      <c r="AJ17" s="6"/>
      <c r="AK17" s="1"/>
      <c r="AL17" s="1"/>
      <c r="AM17" s="1"/>
      <c r="AO17" s="1"/>
      <c r="AP17" s="6">
        <v>15</v>
      </c>
      <c r="AQ17" s="3">
        <f>40+(26/60)</f>
        <v>40.43333333333333</v>
      </c>
      <c r="AR17" s="5">
        <f>AQ17^2</f>
        <v>1634.8544444444442</v>
      </c>
      <c r="AS17" s="5"/>
      <c r="AT17" s="6"/>
      <c r="AU17" s="3">
        <f t="shared" si="5"/>
        <v>0.15888888888889596</v>
      </c>
      <c r="AV17" s="3">
        <f t="shared" si="6"/>
        <v>2.5245679012347928E-2</v>
      </c>
      <c r="AW17" s="1"/>
      <c r="AX17" s="1"/>
      <c r="AY17" s="1"/>
      <c r="BC17" s="2">
        <v>15</v>
      </c>
      <c r="BD17" s="3">
        <f>40+(26/60)</f>
        <v>40.43333333333333</v>
      </c>
      <c r="BE17" s="14">
        <f t="shared" si="7"/>
        <v>0.15888888888889596</v>
      </c>
      <c r="BF17" s="14">
        <f t="shared" si="7"/>
        <v>2.5245679012347928E-2</v>
      </c>
      <c r="BG17" s="14">
        <f t="shared" si="8"/>
        <v>1634.8544444444442</v>
      </c>
    </row>
    <row r="18" spans="2:59" x14ac:dyDescent="0.35">
      <c r="B18" s="13" t="s">
        <v>3</v>
      </c>
      <c r="C18" s="20">
        <f>SUM(C3:C17)</f>
        <v>401.68333333333334</v>
      </c>
      <c r="D18" s="20">
        <f>SUM(D3:D17)</f>
        <v>11061.306944444443</v>
      </c>
      <c r="E18" s="14">
        <f>C18^2</f>
        <v>161349.50027777778</v>
      </c>
      <c r="F18" s="14">
        <f>C18/B17</f>
        <v>26.77888888888889</v>
      </c>
      <c r="L18" s="13" t="s">
        <v>3</v>
      </c>
      <c r="M18" s="20">
        <f>SUM(M3:M17)</f>
        <v>329.09666666666669</v>
      </c>
      <c r="N18" s="20">
        <f>SUM(N3:N17)</f>
        <v>7304.4066777777798</v>
      </c>
      <c r="O18" s="14">
        <f>M18^2</f>
        <v>108304.61601111112</v>
      </c>
      <c r="P18" s="14">
        <f>M18/L17</f>
        <v>21.939777777777781</v>
      </c>
      <c r="V18" s="13" t="s">
        <v>3</v>
      </c>
      <c r="W18" s="20">
        <f>SUM(W3:W17)</f>
        <v>331.06666666666666</v>
      </c>
      <c r="X18" s="20">
        <f>SUM(X3:X17)</f>
        <v>7339.8877777777789</v>
      </c>
      <c r="Y18" s="14">
        <f>W18^2</f>
        <v>109605.13777777778</v>
      </c>
      <c r="Z18" s="14">
        <f>W18/V17</f>
        <v>22.071111111111112</v>
      </c>
      <c r="AE18"/>
      <c r="AF18" s="2" t="s">
        <v>3</v>
      </c>
      <c r="AG18" s="7">
        <f>SUM(AG3:AG17)</f>
        <v>117.91666666666669</v>
      </c>
      <c r="AH18" s="7">
        <f>SUM(AH3:AH17)</f>
        <v>959.99249999999995</v>
      </c>
      <c r="AI18" s="3">
        <f>AG18^2</f>
        <v>13904.340277777783</v>
      </c>
      <c r="AJ18" s="3">
        <f>AG18/AF17</f>
        <v>7.8611111111111125</v>
      </c>
      <c r="AK18" s="1"/>
      <c r="AL18" s="1"/>
      <c r="AM18" s="1"/>
      <c r="AO18" s="1"/>
      <c r="AP18" s="2" t="s">
        <v>3</v>
      </c>
      <c r="AQ18" s="7">
        <f>SUM(AQ3:AQ17)</f>
        <v>604.11666666666656</v>
      </c>
      <c r="AR18" s="7">
        <f>SUM(AR3:AR17)</f>
        <v>24402.629166666666</v>
      </c>
      <c r="AS18" s="3">
        <f>AQ18^2</f>
        <v>364956.94694444432</v>
      </c>
      <c r="AT18" s="3">
        <f>AQ18/AP17</f>
        <v>40.274444444444434</v>
      </c>
      <c r="AU18" s="3">
        <f>SUM(AU3:AU17)</f>
        <v>1.4921397450962104E-13</v>
      </c>
      <c r="AV18" s="3">
        <f>SUM(AV3:AV17)</f>
        <v>72.166037037037015</v>
      </c>
      <c r="AW18" s="1"/>
      <c r="AX18" s="1"/>
      <c r="AY18" s="1"/>
      <c r="BC18" s="2" t="s">
        <v>3</v>
      </c>
      <c r="BD18" s="35">
        <f>SUM(BD3:BD17)</f>
        <v>604.11666666666656</v>
      </c>
      <c r="BE18" s="14">
        <f t="shared" si="7"/>
        <v>1.4921397450962104E-13</v>
      </c>
      <c r="BF18" s="14">
        <f t="shared" si="7"/>
        <v>72.166037037037015</v>
      </c>
      <c r="BG18" s="14">
        <f t="shared" si="8"/>
        <v>24402.629166666666</v>
      </c>
    </row>
    <row r="19" spans="2:59" x14ac:dyDescent="0.35">
      <c r="E19" s="19"/>
      <c r="AE19"/>
      <c r="AF19" s="1"/>
      <c r="AG19" s="1"/>
      <c r="AH19" s="1"/>
      <c r="AI19" s="1"/>
      <c r="AJ19" s="1"/>
      <c r="AK19" s="1"/>
      <c r="AL19" s="1"/>
      <c r="AM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2:59" x14ac:dyDescent="0.35">
      <c r="B20" s="13">
        <v>1</v>
      </c>
      <c r="C20" s="13" t="s">
        <v>4</v>
      </c>
      <c r="D20" s="14">
        <f>((I4/I5*(((B17*D18)-E18)^(1/2)))/C18)^2</f>
        <v>11.32970075772406</v>
      </c>
      <c r="E20" s="21"/>
      <c r="F20" s="19"/>
      <c r="L20" s="13">
        <v>1</v>
      </c>
      <c r="M20" s="13" t="s">
        <v>4</v>
      </c>
      <c r="N20" s="14">
        <f>((S4/S5*(((L17*N18)-O18)^(1/2)))/M18)^2</f>
        <v>4.6590226788714473</v>
      </c>
      <c r="O20" s="21"/>
      <c r="P20" s="19"/>
      <c r="V20" s="13">
        <v>1</v>
      </c>
      <c r="W20" s="13" t="s">
        <v>4</v>
      </c>
      <c r="X20" s="14">
        <f>((AC4/AC5*(((V17*X18)-Y18)^(1/2)))/W18)^2</f>
        <v>1.7998385801541856</v>
      </c>
      <c r="Y20" s="21"/>
      <c r="Z20" s="19"/>
      <c r="AE20"/>
      <c r="AF20" s="2">
        <v>1</v>
      </c>
      <c r="AG20" s="2" t="s">
        <v>4</v>
      </c>
      <c r="AH20" s="3">
        <f>((AM4/AM5*(((AF17*AH18)-AI18)^(1/2)))/AG18)^2</f>
        <v>14.255900310903938</v>
      </c>
      <c r="AI20" s="8"/>
      <c r="AJ20" s="8"/>
      <c r="AL20" s="1"/>
      <c r="AM20" s="1"/>
      <c r="AO20" s="1"/>
      <c r="AP20" s="2">
        <v>1</v>
      </c>
      <c r="AQ20" s="2" t="s">
        <v>4</v>
      </c>
      <c r="AR20" s="3">
        <f>((AY4/AY5*(((AP17*AR18)-AS18)^(1/2)))/AQ18)^2</f>
        <v>4.7457238542515894</v>
      </c>
      <c r="AS20" s="8"/>
      <c r="AT20" s="8"/>
      <c r="AU20" s="8"/>
      <c r="AV20" s="8"/>
    </row>
    <row r="21" spans="2:59" x14ac:dyDescent="0.35">
      <c r="B21" s="13">
        <v>2</v>
      </c>
      <c r="C21" s="13" t="s">
        <v>5</v>
      </c>
      <c r="D21" s="14">
        <f>(((C3-F18)^2+(C4-F18)^2+(C5-F18)^2+(C6-F18)^2+(C7-F18)^2+(C8-F18)^2+(C9-F18)^2+(C10-F18)^2+(C11-F18)^2+(C12-F18)^2+(C13-F18)^2+(C14-F18)^2+(C15-F18)^2+(C16-F18)^2+(C17-F18)^2)/B17)^(1/2)</f>
        <v>4.5068362339346404</v>
      </c>
      <c r="E21" s="21"/>
      <c r="F21" s="21"/>
      <c r="L21" s="13">
        <v>2</v>
      </c>
      <c r="M21" s="13" t="s">
        <v>5</v>
      </c>
      <c r="N21" s="14">
        <f>(((M3-P18)^2+(M4-P18)^2+(M5-P18)^2+(M6-P18)^2+(M7-P18)^2+(M8-P18)^2+(M9-P18)^2+(M10-P18)^2+(M11-P18)^2+(M12-P18)^2+(M13-P18)^2+(M14-P18)^2+(M15-P18)^2+(M16-P18)^2+(M17-P18)^2)/L17)^(1/2)</f>
        <v>2.3678252146038137</v>
      </c>
      <c r="O21" s="21"/>
      <c r="P21" s="21"/>
      <c r="V21" s="13">
        <v>2</v>
      </c>
      <c r="W21" s="13" t="s">
        <v>5</v>
      </c>
      <c r="X21" s="14">
        <f>(((W3-Z18)^2+(W4-Z18)^2+(W5-Z18)^2+(W6-Z18)^2+(W7-Z18)^2+(W8-Z18)^2+(W9-Z18)^2+(W10-Z18)^2+(W11-Z18)^2+(W12-Z18)^2+(W13-Z18)^2+(W14-Z18)^2+(W15-Z18)^2+(W16-Z18)^2+(W17-Z18)^2)/V17)^(1/2)</f>
        <v>1.4805087547324765</v>
      </c>
      <c r="Y21" s="21"/>
      <c r="Z21" s="21"/>
      <c r="AE21"/>
      <c r="AF21" s="2">
        <v>2</v>
      </c>
      <c r="AG21" s="2" t="s">
        <v>5</v>
      </c>
      <c r="AH21" s="3">
        <f>(((AG3-AJ18)^2+(AG4-AJ18)^2+(AG5-AJ18)^2+(AG6-AJ18)^2+(AG7-AJ18)^2+(AG8-AJ18)^2+(AG9-AJ18)^2+(AG10-AJ18)^2+(AG11-AJ18)^2+(AG12-AJ18)^2+(AG13-AJ18)^2+(AG14-AJ18)^2+(AG15-AJ18)^2+(AG16-AJ18)^2+(AG17-AJ18)^2)/AF17)^(1/2)</f>
        <v>1.4840593312820858</v>
      </c>
      <c r="AI21" s="9"/>
      <c r="AJ21" s="9"/>
      <c r="AL21" s="1"/>
      <c r="AM21" s="1"/>
      <c r="AO21" s="1"/>
      <c r="AP21" s="2">
        <v>2</v>
      </c>
      <c r="AQ21" s="2" t="s">
        <v>5</v>
      </c>
      <c r="AR21" s="3">
        <f>(((AQ3-AT18)^2+(AQ4-AT18)^2+(AQ5-AT18)^2+(AQ6-AT18)^2+(AQ7-AT18)^2+(AQ8-AT18)^2+(AQ9-AT18)^2+(AQ10-AT18)^2+(AQ11-AT18)^2+(AQ12-AT18)^2+(AQ13-AT18)^2+(AQ14-AT18)^2+(AQ15-AT18)^2+(AQ16-AT18)^2+(AQ17-AT18)^2)/AP17)^(1/2)</f>
        <v>2.1934149483858425</v>
      </c>
      <c r="AS21" s="9"/>
      <c r="AT21" s="9"/>
      <c r="AU21" s="9"/>
      <c r="AV21" s="9"/>
    </row>
    <row r="22" spans="2:59" x14ac:dyDescent="0.35">
      <c r="B22" s="13">
        <v>3</v>
      </c>
      <c r="C22" s="13" t="s">
        <v>6</v>
      </c>
      <c r="D22" s="14">
        <f>F18+(I4*D21)</f>
        <v>35.792561356758171</v>
      </c>
      <c r="H22" s="19"/>
      <c r="L22" s="13">
        <v>3</v>
      </c>
      <c r="M22" s="13" t="s">
        <v>6</v>
      </c>
      <c r="N22" s="14">
        <f>P18+(S4*N21)</f>
        <v>26.675428206985409</v>
      </c>
      <c r="V22" s="13">
        <v>3</v>
      </c>
      <c r="W22" s="13" t="s">
        <v>6</v>
      </c>
      <c r="X22" s="14">
        <f>Z18+(AC4*X21)</f>
        <v>25.032128620576064</v>
      </c>
      <c r="AE22"/>
      <c r="AF22" s="2">
        <v>3</v>
      </c>
      <c r="AG22" s="2" t="s">
        <v>6</v>
      </c>
      <c r="AH22" s="3">
        <f>AJ18+(AM4*AH21)</f>
        <v>10.829229773675284</v>
      </c>
      <c r="AI22" s="1"/>
      <c r="AJ22" s="1"/>
      <c r="AO22" s="1"/>
      <c r="AP22" s="2">
        <v>3</v>
      </c>
      <c r="AQ22" s="2" t="s">
        <v>6</v>
      </c>
      <c r="AR22" s="3">
        <f>AT18+(AY4*AR21)</f>
        <v>44.661274341216121</v>
      </c>
      <c r="AS22" s="1"/>
      <c r="AT22" s="1"/>
      <c r="AU22" s="1"/>
      <c r="AV22" s="1"/>
      <c r="BA22" s="19">
        <f>(4/15)*100%</f>
        <v>0.26666666666666666</v>
      </c>
    </row>
    <row r="23" spans="2:59" x14ac:dyDescent="0.35">
      <c r="B23" s="13">
        <v>4</v>
      </c>
      <c r="C23" s="13" t="s">
        <v>7</v>
      </c>
      <c r="D23" s="14">
        <f>F18-(I4*D21)</f>
        <v>17.765216421019609</v>
      </c>
      <c r="L23" s="13">
        <v>4</v>
      </c>
      <c r="M23" s="13" t="s">
        <v>7</v>
      </c>
      <c r="N23" s="14">
        <f>P18-(S4*N21)</f>
        <v>17.204127348570154</v>
      </c>
      <c r="V23" s="13">
        <v>4</v>
      </c>
      <c r="W23" s="13" t="s">
        <v>7</v>
      </c>
      <c r="X23" s="14">
        <f>Z18-(AC4*X21)</f>
        <v>19.11009360164616</v>
      </c>
      <c r="AE23"/>
      <c r="AF23" s="2">
        <v>4</v>
      </c>
      <c r="AG23" s="2" t="s">
        <v>7</v>
      </c>
      <c r="AH23" s="3">
        <f>AJ18-(AM4*AH21)</f>
        <v>4.8929924485469414</v>
      </c>
      <c r="AI23" s="1"/>
      <c r="AJ23" s="1"/>
      <c r="AO23" s="1"/>
      <c r="AP23" s="2">
        <v>4</v>
      </c>
      <c r="AQ23" s="2" t="s">
        <v>7</v>
      </c>
      <c r="AR23" s="3">
        <f>AT18-(AY4*AR21)</f>
        <v>35.887614547672747</v>
      </c>
      <c r="AS23" s="1"/>
      <c r="AT23" s="1"/>
      <c r="AU23" s="1"/>
      <c r="AV23" s="1"/>
    </row>
    <row r="24" spans="2:59" x14ac:dyDescent="0.35">
      <c r="B24" s="13">
        <v>5</v>
      </c>
      <c r="C24" s="13" t="s">
        <v>8</v>
      </c>
      <c r="D24" s="14">
        <f>C18/B17</f>
        <v>26.77888888888889</v>
      </c>
      <c r="L24" s="13">
        <v>5</v>
      </c>
      <c r="M24" s="13" t="s">
        <v>8</v>
      </c>
      <c r="N24" s="14">
        <f>M18/L17</f>
        <v>21.939777777777781</v>
      </c>
      <c r="V24" s="13">
        <v>5</v>
      </c>
      <c r="W24" s="13" t="s">
        <v>8</v>
      </c>
      <c r="X24" s="14">
        <f>W18/V17</f>
        <v>22.071111111111112</v>
      </c>
      <c r="AE24"/>
      <c r="AF24" s="2">
        <v>5</v>
      </c>
      <c r="AG24" s="2" t="s">
        <v>8</v>
      </c>
      <c r="AH24" s="3">
        <f>AG18/AF17</f>
        <v>7.8611111111111125</v>
      </c>
      <c r="AI24" s="1"/>
      <c r="AJ24" s="1"/>
      <c r="AO24" s="1"/>
      <c r="AP24" s="2">
        <v>5</v>
      </c>
      <c r="AQ24" s="2" t="s">
        <v>8</v>
      </c>
      <c r="AR24" s="3">
        <f>AQ18/AP17</f>
        <v>40.274444444444434</v>
      </c>
      <c r="AS24" s="1"/>
      <c r="AT24" s="1"/>
      <c r="AU24" s="1"/>
      <c r="AV24" s="1"/>
    </row>
    <row r="25" spans="2:59" x14ac:dyDescent="0.35">
      <c r="B25" s="13">
        <v>6</v>
      </c>
      <c r="C25" s="13" t="s">
        <v>9</v>
      </c>
      <c r="D25" s="14">
        <f>D24*I3</f>
        <v>31.24203703703704</v>
      </c>
      <c r="L25" s="18">
        <v>6</v>
      </c>
      <c r="M25" s="18" t="s">
        <v>9</v>
      </c>
      <c r="N25" s="17">
        <f>N24*S3</f>
        <v>25.596407407407412</v>
      </c>
      <c r="V25" s="13">
        <v>6</v>
      </c>
      <c r="W25" s="13" t="s">
        <v>9</v>
      </c>
      <c r="X25" s="14">
        <f>X24*AC3</f>
        <v>25.749629629629631</v>
      </c>
      <c r="AE25"/>
      <c r="AF25" s="2">
        <v>6</v>
      </c>
      <c r="AG25" s="2" t="s">
        <v>9</v>
      </c>
      <c r="AH25" s="3">
        <f>AH24*AM3</f>
        <v>9.1712962962962976</v>
      </c>
      <c r="AI25" s="1"/>
      <c r="AJ25" s="1"/>
      <c r="AO25" s="1"/>
      <c r="AP25" s="2">
        <v>6</v>
      </c>
      <c r="AQ25" s="2" t="s">
        <v>9</v>
      </c>
      <c r="AR25" s="3">
        <f>AR24*AY3</f>
        <v>46.986851851851846</v>
      </c>
      <c r="AS25" s="1"/>
      <c r="AT25" s="1"/>
      <c r="AU25" s="1"/>
      <c r="AV25" s="1"/>
    </row>
    <row r="26" spans="2:59" x14ac:dyDescent="0.35">
      <c r="B26" s="13">
        <v>7</v>
      </c>
      <c r="C26" s="13" t="s">
        <v>10</v>
      </c>
      <c r="D26" s="14">
        <f>D25*((100)/(100-I6))</f>
        <v>31.255432222275157</v>
      </c>
      <c r="E26" s="19">
        <f>D26/60</f>
        <v>0.52092387037125265</v>
      </c>
      <c r="L26" s="13">
        <v>7</v>
      </c>
      <c r="M26" s="13" t="s">
        <v>10</v>
      </c>
      <c r="N26" s="14">
        <f>N25*((100)/(100-S6))</f>
        <v>25.607381999692993</v>
      </c>
      <c r="O26" s="19">
        <f>N26/60</f>
        <v>0.4267896999948832</v>
      </c>
      <c r="V26" s="13">
        <v>7</v>
      </c>
      <c r="W26" s="13" t="s">
        <v>10</v>
      </c>
      <c r="X26" s="14">
        <f>X25*((100)/(100-AC6))</f>
        <v>25.760669916736802</v>
      </c>
      <c r="Y26" s="22">
        <f>X26/60</f>
        <v>0.42934449861228002</v>
      </c>
      <c r="AE26"/>
      <c r="AF26" s="2">
        <v>7</v>
      </c>
      <c r="AG26" s="2" t="s">
        <v>10</v>
      </c>
      <c r="AH26" s="3">
        <f>AH25*((100)/(100-AM6))</f>
        <v>9.1752285370979116</v>
      </c>
      <c r="AI26" s="11">
        <f>AH26/60</f>
        <v>0.15292047561829852</v>
      </c>
      <c r="AJ26" s="1"/>
      <c r="AO26" s="1"/>
      <c r="AP26" s="2">
        <v>7</v>
      </c>
      <c r="AQ26" s="2" t="s">
        <v>10</v>
      </c>
      <c r="AR26" s="3">
        <f>AR25*((100)/(100-AY6))</f>
        <v>47.00699770801242</v>
      </c>
      <c r="AS26" s="11">
        <f>AR26/60</f>
        <v>0.78344996180020698</v>
      </c>
      <c r="AT26" s="1"/>
      <c r="AU26" s="1"/>
      <c r="AV26" s="1"/>
    </row>
    <row r="27" spans="2:59" x14ac:dyDescent="0.35">
      <c r="D27" s="19"/>
      <c r="N27" s="19"/>
    </row>
    <row r="28" spans="2:59" x14ac:dyDescent="0.35">
      <c r="C28" s="39" t="s">
        <v>51</v>
      </c>
      <c r="D28" s="13" t="s">
        <v>50</v>
      </c>
      <c r="M28" s="26"/>
      <c r="N28" s="25"/>
    </row>
    <row r="29" spans="2:59" x14ac:dyDescent="0.35">
      <c r="C29" s="13">
        <v>90</v>
      </c>
      <c r="D29" s="13">
        <v>1.645</v>
      </c>
      <c r="M29" s="19"/>
      <c r="N29" s="25"/>
    </row>
    <row r="30" spans="2:59" x14ac:dyDescent="0.35">
      <c r="C30" s="13">
        <v>95</v>
      </c>
      <c r="D30" s="13">
        <v>1.96</v>
      </c>
      <c r="M30" s="26"/>
      <c r="N30" s="25"/>
    </row>
    <row r="31" spans="2:59" x14ac:dyDescent="0.35">
      <c r="C31" s="13">
        <v>99</v>
      </c>
      <c r="D31" s="13">
        <v>2.5750000000000002</v>
      </c>
      <c r="M31" s="19"/>
      <c r="N31" s="25"/>
    </row>
    <row r="32" spans="2:59" x14ac:dyDescent="0.35">
      <c r="M32" s="19"/>
      <c r="N32" s="25"/>
    </row>
    <row r="33" spans="3:14" x14ac:dyDescent="0.35">
      <c r="C33" s="12" t="s">
        <v>52</v>
      </c>
      <c r="D33" s="19">
        <f>(((D30*D21)/(I5*F18)))^2</f>
        <v>10.881044607718293</v>
      </c>
      <c r="M33" s="19"/>
      <c r="N33" s="25"/>
    </row>
    <row r="34" spans="3:14" x14ac:dyDescent="0.35">
      <c r="G34" s="19"/>
      <c r="M34" s="19"/>
      <c r="N34" s="25"/>
    </row>
    <row r="35" spans="3:14" x14ac:dyDescent="0.35">
      <c r="G35" s="19"/>
      <c r="M35" s="19"/>
      <c r="N35" s="25"/>
    </row>
    <row r="36" spans="3:14" x14ac:dyDescent="0.35">
      <c r="G36" s="19"/>
      <c r="M36" s="19"/>
      <c r="N36" s="25"/>
    </row>
    <row r="37" spans="3:14" x14ac:dyDescent="0.35">
      <c r="G37" s="19"/>
      <c r="M37" s="19"/>
      <c r="N37" s="25"/>
    </row>
    <row r="38" spans="3:14" x14ac:dyDescent="0.35">
      <c r="G38" s="19"/>
      <c r="M38" s="19"/>
      <c r="N38" s="25"/>
    </row>
    <row r="39" spans="3:14" x14ac:dyDescent="0.35">
      <c r="G39" s="19"/>
      <c r="M39" s="19"/>
      <c r="N39" s="25"/>
    </row>
    <row r="40" spans="3:14" x14ac:dyDescent="0.35">
      <c r="G40" s="19"/>
      <c r="M40" s="19"/>
      <c r="N40" s="25"/>
    </row>
    <row r="41" spans="3:14" x14ac:dyDescent="0.35">
      <c r="G41" s="19"/>
      <c r="M41" s="19"/>
      <c r="N41" s="25"/>
    </row>
    <row r="42" spans="3:14" x14ac:dyDescent="0.35">
      <c r="G42" s="19"/>
      <c r="M42" s="19"/>
      <c r="N42" s="25"/>
    </row>
    <row r="43" spans="3:14" x14ac:dyDescent="0.35">
      <c r="G43" s="19"/>
      <c r="M43" s="19"/>
      <c r="N43" s="25"/>
    </row>
    <row r="44" spans="3:14" x14ac:dyDescent="0.35">
      <c r="G44" s="19"/>
      <c r="M44" s="19"/>
      <c r="N44" s="25"/>
    </row>
    <row r="45" spans="3:14" x14ac:dyDescent="0.35">
      <c r="G45" s="19"/>
      <c r="M45" s="19"/>
      <c r="N45" s="25"/>
    </row>
    <row r="46" spans="3:14" x14ac:dyDescent="0.35">
      <c r="G46" s="19"/>
      <c r="M46" s="19"/>
      <c r="N46" s="25"/>
    </row>
    <row r="47" spans="3:14" x14ac:dyDescent="0.35">
      <c r="G47" s="19"/>
      <c r="M47" s="19"/>
    </row>
    <row r="48" spans="3:14" x14ac:dyDescent="0.35">
      <c r="G48" s="19"/>
      <c r="M48" s="19"/>
    </row>
    <row r="49" spans="3:13" x14ac:dyDescent="0.35">
      <c r="C49" s="19"/>
      <c r="G49" s="19"/>
      <c r="M49" s="19"/>
    </row>
    <row r="50" spans="3:13" x14ac:dyDescent="0.35">
      <c r="C50" s="19"/>
      <c r="G50" s="19"/>
      <c r="M50" s="19"/>
    </row>
    <row r="51" spans="3:13" x14ac:dyDescent="0.35">
      <c r="C51" s="19"/>
      <c r="G51" s="19"/>
    </row>
    <row r="52" spans="3:13" x14ac:dyDescent="0.35">
      <c r="C52" s="19"/>
      <c r="G52" s="19"/>
    </row>
    <row r="53" spans="3:13" x14ac:dyDescent="0.35">
      <c r="C53" s="19"/>
      <c r="G53" s="19"/>
    </row>
    <row r="54" spans="3:13" x14ac:dyDescent="0.35">
      <c r="C54" s="19"/>
      <c r="G54" s="19"/>
    </row>
    <row r="55" spans="3:13" x14ac:dyDescent="0.35">
      <c r="C55" s="19"/>
    </row>
    <row r="56" spans="3:13" x14ac:dyDescent="0.35">
      <c r="C56" s="19"/>
    </row>
    <row r="57" spans="3:13" x14ac:dyDescent="0.35">
      <c r="C57" s="19"/>
    </row>
    <row r="58" spans="3:13" x14ac:dyDescent="0.35">
      <c r="C58" s="19"/>
      <c r="J58" s="19"/>
    </row>
    <row r="59" spans="3:13" x14ac:dyDescent="0.35">
      <c r="C59" s="19"/>
    </row>
    <row r="60" spans="3:13" x14ac:dyDescent="0.35">
      <c r="C60" s="19"/>
    </row>
    <row r="61" spans="3:13" x14ac:dyDescent="0.35">
      <c r="C61" s="19"/>
    </row>
    <row r="62" spans="3:13" x14ac:dyDescent="0.35">
      <c r="C62" s="19"/>
    </row>
    <row r="63" spans="3:13" x14ac:dyDescent="0.35">
      <c r="C63" s="19"/>
    </row>
    <row r="64" spans="3:13" x14ac:dyDescent="0.35">
      <c r="C64" s="19"/>
    </row>
    <row r="65" spans="3:3" x14ac:dyDescent="0.35">
      <c r="C65" s="19"/>
    </row>
    <row r="66" spans="3:3" x14ac:dyDescent="0.35">
      <c r="C66" s="19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DDFC8-1B10-40C7-BC62-ACF2EACC81D9}">
  <dimension ref="A2:H10"/>
  <sheetViews>
    <sheetView workbookViewId="0">
      <selection activeCell="C9" sqref="C9"/>
    </sheetView>
  </sheetViews>
  <sheetFormatPr defaultRowHeight="15.5" x14ac:dyDescent="0.35"/>
  <cols>
    <col min="1" max="1" width="11.1640625" bestFit="1" customWidth="1"/>
    <col min="4" max="4" width="8.58203125" customWidth="1"/>
    <col min="5" max="6" width="9.75" bestFit="1" customWidth="1"/>
  </cols>
  <sheetData>
    <row r="2" spans="1:8" ht="26" x14ac:dyDescent="0.35">
      <c r="A2" s="40" t="s">
        <v>53</v>
      </c>
      <c r="B2" s="40"/>
      <c r="C2" s="2" t="s">
        <v>49</v>
      </c>
      <c r="D2" s="2" t="s">
        <v>63</v>
      </c>
      <c r="F2" s="2"/>
      <c r="G2" s="2" t="s">
        <v>34</v>
      </c>
      <c r="H2" s="2" t="s">
        <v>49</v>
      </c>
    </row>
    <row r="3" spans="1:8" ht="26" x14ac:dyDescent="0.35">
      <c r="A3" s="40" t="s">
        <v>54</v>
      </c>
      <c r="B3" s="40">
        <v>0.95</v>
      </c>
      <c r="C3" s="2">
        <v>1</v>
      </c>
      <c r="D3" s="43">
        <f>(C3/$H$3)*100%</f>
        <v>2.3809523809523812E-3</v>
      </c>
      <c r="F3" s="2" t="s">
        <v>62</v>
      </c>
      <c r="G3" s="36">
        <v>7</v>
      </c>
      <c r="H3" s="2">
        <f>G3*60</f>
        <v>420</v>
      </c>
    </row>
    <row r="4" spans="1:8" x14ac:dyDescent="0.35">
      <c r="A4" s="40" t="s">
        <v>55</v>
      </c>
      <c r="B4" s="40">
        <v>0.24</v>
      </c>
      <c r="C4" s="2">
        <v>2</v>
      </c>
      <c r="D4" s="43">
        <f t="shared" ref="D4:D8" si="0">(C4/$H$3)*100%</f>
        <v>4.7619047619047623E-3</v>
      </c>
    </row>
    <row r="5" spans="1:8" x14ac:dyDescent="0.35">
      <c r="A5" s="40" t="s">
        <v>56</v>
      </c>
      <c r="B5" s="40">
        <v>0.48</v>
      </c>
      <c r="C5" s="2">
        <v>5</v>
      </c>
      <c r="D5" s="43">
        <f t="shared" si="0"/>
        <v>1.1904761904761904E-2</v>
      </c>
      <c r="F5" s="29"/>
    </row>
    <row r="6" spans="1:8" x14ac:dyDescent="0.35">
      <c r="A6" s="40" t="s">
        <v>57</v>
      </c>
      <c r="B6" s="40">
        <v>0.71</v>
      </c>
      <c r="C6" s="2">
        <v>3</v>
      </c>
      <c r="D6" s="43">
        <f t="shared" si="0"/>
        <v>7.1428571428571426E-3</v>
      </c>
      <c r="F6" s="29"/>
    </row>
    <row r="7" spans="1:8" x14ac:dyDescent="0.35">
      <c r="A7" s="40" t="s">
        <v>58</v>
      </c>
      <c r="B7" s="40">
        <v>0.71</v>
      </c>
      <c r="C7" s="2">
        <v>1</v>
      </c>
      <c r="D7" s="43">
        <f t="shared" si="0"/>
        <v>2.3809523809523812E-3</v>
      </c>
      <c r="F7" s="29"/>
    </row>
    <row r="8" spans="1:8" ht="39" x14ac:dyDescent="0.35">
      <c r="A8" s="42" t="s">
        <v>59</v>
      </c>
      <c r="B8" s="42">
        <v>1.19</v>
      </c>
      <c r="C8" s="6">
        <v>6</v>
      </c>
      <c r="D8" s="43">
        <f t="shared" si="0"/>
        <v>1.4285714285714285E-2</v>
      </c>
      <c r="F8" s="29"/>
    </row>
    <row r="9" spans="1:8" x14ac:dyDescent="0.35">
      <c r="A9" s="40" t="s">
        <v>60</v>
      </c>
      <c r="B9" s="2">
        <f>SUM(B3:B8)</f>
        <v>4.2799999999999994</v>
      </c>
      <c r="C9" s="2">
        <f>SUM(C3:C8)</f>
        <v>18</v>
      </c>
      <c r="D9" s="43">
        <f>SUM(D3:D8)</f>
        <v>4.2857142857142858E-2</v>
      </c>
      <c r="F9" s="29"/>
    </row>
    <row r="10" spans="1:8" x14ac:dyDescent="0.35">
      <c r="A10" s="1"/>
      <c r="B10" s="47" t="s">
        <v>61</v>
      </c>
      <c r="C10" s="48"/>
      <c r="D10" s="1"/>
      <c r="F10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ADC87-446A-439F-A3E6-969AB674C2F9}">
  <dimension ref="B2:H8"/>
  <sheetViews>
    <sheetView workbookViewId="0">
      <selection activeCell="D4" sqref="D4:H8"/>
    </sheetView>
  </sheetViews>
  <sheetFormatPr defaultRowHeight="15.5" x14ac:dyDescent="0.35"/>
  <cols>
    <col min="2" max="2" width="31.83203125" bestFit="1" customWidth="1"/>
    <col min="3" max="3" width="7.6640625" hidden="1" customWidth="1"/>
    <col min="4" max="4" width="7.25" customWidth="1"/>
    <col min="5" max="5" width="7.9140625" customWidth="1"/>
    <col min="6" max="6" width="9.25" customWidth="1"/>
    <col min="7" max="8" width="8.58203125" customWidth="1"/>
  </cols>
  <sheetData>
    <row r="2" spans="2:8" x14ac:dyDescent="0.35">
      <c r="B2" s="46" t="s">
        <v>20</v>
      </c>
      <c r="C2" s="45" t="s">
        <v>22</v>
      </c>
      <c r="D2" s="45"/>
      <c r="E2" s="45"/>
      <c r="F2" s="45"/>
      <c r="G2" s="45"/>
      <c r="H2" s="45"/>
    </row>
    <row r="3" spans="2:8" ht="28.25" customHeight="1" x14ac:dyDescent="0.35">
      <c r="B3" s="46"/>
      <c r="C3" s="24" t="s">
        <v>21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</row>
    <row r="4" spans="2:8" x14ac:dyDescent="0.35">
      <c r="B4" s="31" t="s">
        <v>41</v>
      </c>
      <c r="C4" s="3">
        <f>'1 Kitir '!$D$21</f>
        <v>4.5068362339346404</v>
      </c>
      <c r="D4" s="3">
        <f>'1 Kitir '!$D$22</f>
        <v>35.792561356758171</v>
      </c>
      <c r="E4" s="3">
        <f>'1 Kitir '!$D$23</f>
        <v>17.765216421019609</v>
      </c>
      <c r="F4" s="3">
        <f>'1 Kitir '!$D$24</f>
        <v>26.77888888888889</v>
      </c>
      <c r="G4" s="3">
        <f>'1 Kitir '!$D$25</f>
        <v>31.24203703703704</v>
      </c>
      <c r="H4" s="3">
        <f>'1 Kitir '!$D$26</f>
        <v>31.255432222275157</v>
      </c>
    </row>
    <row r="5" spans="2:8" x14ac:dyDescent="0.35">
      <c r="B5" s="31" t="s">
        <v>45</v>
      </c>
      <c r="C5" s="3">
        <f>'1 Kitir '!$N$21</f>
        <v>2.3678252146038137</v>
      </c>
      <c r="D5" s="3">
        <f>'1 Kitir '!$N$22</f>
        <v>26.675428206985409</v>
      </c>
      <c r="E5" s="3">
        <f>'1 Kitir '!$N$23</f>
        <v>17.204127348570154</v>
      </c>
      <c r="F5" s="3">
        <f>'1 Kitir '!$N$24</f>
        <v>21.939777777777781</v>
      </c>
      <c r="G5" s="3">
        <f>'1 Kitir '!$N$25</f>
        <v>25.596407407407412</v>
      </c>
      <c r="H5" s="3">
        <f>'1 Kitir '!$N$26</f>
        <v>25.607381999692993</v>
      </c>
    </row>
    <row r="6" spans="2:8" x14ac:dyDescent="0.35">
      <c r="B6" s="31" t="s">
        <v>46</v>
      </c>
      <c r="C6" s="3">
        <f>'1 Kitir '!$X$21</f>
        <v>1.4805087547324765</v>
      </c>
      <c r="D6" s="3">
        <f>'1 Kitir '!$X$22</f>
        <v>25.032128620576064</v>
      </c>
      <c r="E6" s="3">
        <f>'1 Kitir '!$X$23</f>
        <v>19.11009360164616</v>
      </c>
      <c r="F6" s="3">
        <f>'1 Kitir '!$X$24</f>
        <v>22.071111111111112</v>
      </c>
      <c r="G6" s="3">
        <f>'1 Kitir '!$X$25</f>
        <v>25.749629629629631</v>
      </c>
      <c r="H6" s="3">
        <f>'1 Kitir '!$X$26</f>
        <v>25.760669916736802</v>
      </c>
    </row>
    <row r="7" spans="2:8" x14ac:dyDescent="0.35">
      <c r="B7" s="31" t="s">
        <v>47</v>
      </c>
      <c r="C7" s="3">
        <f>'1 Kitir '!$AH$21</f>
        <v>1.4840593312820858</v>
      </c>
      <c r="D7" s="3">
        <f>'1 Kitir '!$AH$22</f>
        <v>10.829229773675284</v>
      </c>
      <c r="E7" s="3">
        <f>'1 Kitir '!$AH$23</f>
        <v>4.8929924485469414</v>
      </c>
      <c r="F7" s="3">
        <f>'1 Kitir '!$AH$24</f>
        <v>7.8611111111111125</v>
      </c>
      <c r="G7" s="3">
        <f>'1 Kitir '!$AH$25</f>
        <v>9.1712962962962976</v>
      </c>
      <c r="H7" s="3">
        <f>'1 Kitir '!$AH$26</f>
        <v>9.1752285370979116</v>
      </c>
    </row>
    <row r="8" spans="2:8" x14ac:dyDescent="0.35">
      <c r="B8" s="23" t="s">
        <v>48</v>
      </c>
      <c r="C8" s="3">
        <f>'1 Kitir '!$AR$21</f>
        <v>2.1934149483858425</v>
      </c>
      <c r="D8" s="3">
        <f>'1 Kitir '!$AR$22</f>
        <v>44.661274341216121</v>
      </c>
      <c r="E8" s="3">
        <f>'1 Kitir '!$AR$23</f>
        <v>35.887614547672747</v>
      </c>
      <c r="F8" s="3">
        <f>'1 Kitir '!$AR$24</f>
        <v>40.274444444444434</v>
      </c>
      <c r="G8" s="3">
        <f>'1 Kitir '!$AR$25</f>
        <v>46.986851851851846</v>
      </c>
      <c r="H8" s="3">
        <f>'1 Kitir '!$AR$26</f>
        <v>47.00699770801242</v>
      </c>
    </row>
  </sheetData>
  <mergeCells count="2">
    <mergeCell ref="C2:H2"/>
    <mergeCell ref="B2:B3"/>
  </mergeCells>
  <pageMargins left="0.7" right="0.7" top="0.75" bottom="0.75" header="0.3" footer="0.3"/>
  <pageSetup paperSize="9" orientation="portrait" horizontalDpi="4294967293" verticalDpi="0" r:id="rId1"/>
  <ignoredErrors>
    <ignoredError sqref="D4:D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6CBDB-DACD-4DAB-BB51-5A019F1DF01A}">
  <dimension ref="B3:AS19"/>
  <sheetViews>
    <sheetView topLeftCell="W17" zoomScale="91" zoomScaleNormal="100" workbookViewId="0">
      <selection activeCell="AO18" sqref="AO18"/>
    </sheetView>
  </sheetViews>
  <sheetFormatPr defaultRowHeight="15.5" x14ac:dyDescent="0.35"/>
  <cols>
    <col min="1" max="16384" width="8.6640625" style="1"/>
  </cols>
  <sheetData>
    <row r="3" spans="2:44" x14ac:dyDescent="0.35">
      <c r="B3" s="2" t="s">
        <v>25</v>
      </c>
      <c r="C3" s="3" t="s">
        <v>24</v>
      </c>
      <c r="D3" s="3" t="s">
        <v>6</v>
      </c>
      <c r="E3" s="3" t="s">
        <v>7</v>
      </c>
      <c r="F3" s="3" t="s">
        <v>8</v>
      </c>
      <c r="G3" s="2" t="s">
        <v>9</v>
      </c>
      <c r="H3" s="2" t="s">
        <v>10</v>
      </c>
      <c r="J3" s="2" t="s">
        <v>25</v>
      </c>
      <c r="K3" s="3" t="s">
        <v>24</v>
      </c>
      <c r="L3" s="3" t="s">
        <v>6</v>
      </c>
      <c r="M3" s="3" t="s">
        <v>7</v>
      </c>
      <c r="N3" s="3" t="s">
        <v>8</v>
      </c>
      <c r="O3" s="2" t="s">
        <v>9</v>
      </c>
      <c r="Q3" s="8"/>
      <c r="R3" s="2" t="s">
        <v>25</v>
      </c>
      <c r="S3" s="3" t="s">
        <v>24</v>
      </c>
      <c r="T3" s="3" t="s">
        <v>6</v>
      </c>
      <c r="U3" s="3" t="s">
        <v>7</v>
      </c>
      <c r="V3" s="3" t="s">
        <v>8</v>
      </c>
      <c r="W3" s="2" t="s">
        <v>9</v>
      </c>
      <c r="Y3" s="8"/>
      <c r="Z3" s="2" t="s">
        <v>25</v>
      </c>
      <c r="AA3" s="3" t="s">
        <v>24</v>
      </c>
      <c r="AB3" s="3" t="s">
        <v>6</v>
      </c>
      <c r="AC3" s="3" t="s">
        <v>7</v>
      </c>
      <c r="AD3" s="3" t="s">
        <v>8</v>
      </c>
      <c r="AE3" s="2" t="s">
        <v>9</v>
      </c>
      <c r="AF3" s="8"/>
      <c r="AG3" s="8"/>
      <c r="AH3" s="2" t="s">
        <v>25</v>
      </c>
      <c r="AI3" s="3" t="s">
        <v>24</v>
      </c>
      <c r="AJ3" s="3" t="s">
        <v>6</v>
      </c>
      <c r="AK3" s="3" t="s">
        <v>7</v>
      </c>
      <c r="AL3" s="3" t="s">
        <v>8</v>
      </c>
      <c r="AM3" s="2" t="s">
        <v>9</v>
      </c>
      <c r="AN3" s="2" t="s">
        <v>10</v>
      </c>
    </row>
    <row r="4" spans="2:44" x14ac:dyDescent="0.35">
      <c r="B4" s="2">
        <v>1</v>
      </c>
      <c r="C4" s="3">
        <f>'1 Kitir '!C3</f>
        <v>28.8</v>
      </c>
      <c r="D4" s="3">
        <f>'1 Kitir '!$D$22</f>
        <v>35.792561356758171</v>
      </c>
      <c r="E4" s="3">
        <f>'1 Kitir '!$D$23</f>
        <v>17.765216421019609</v>
      </c>
      <c r="F4" s="3">
        <f>'1 Kitir '!$D$24</f>
        <v>26.77888888888889</v>
      </c>
      <c r="G4" s="3">
        <f>'1 Kitir '!$D$25</f>
        <v>31.24203703703704</v>
      </c>
      <c r="H4" s="8">
        <f>'1 Kitir '!$D$26</f>
        <v>31.255432222275157</v>
      </c>
      <c r="J4" s="2">
        <v>1</v>
      </c>
      <c r="K4" s="3">
        <f>'1 Kitir '!M3</f>
        <v>26.58</v>
      </c>
      <c r="L4" s="3">
        <f>'1 Kitir '!$N$22</f>
        <v>26.675428206985409</v>
      </c>
      <c r="M4" s="3">
        <f>'1 Kitir '!$N$23</f>
        <v>17.204127348570154</v>
      </c>
      <c r="N4" s="3">
        <f>'1 Kitir '!$N$24</f>
        <v>21.939777777777781</v>
      </c>
      <c r="O4" s="3">
        <f>'1 Kitir '!$N$25</f>
        <v>25.596407407407412</v>
      </c>
      <c r="Q4" s="8"/>
      <c r="R4" s="2">
        <v>1</v>
      </c>
      <c r="S4" s="3">
        <f>'1 Kitir '!W3</f>
        <v>20.716666666666665</v>
      </c>
      <c r="T4" s="3">
        <f>'1 Kitir '!$X$22</f>
        <v>25.032128620576064</v>
      </c>
      <c r="U4" s="3">
        <f>'1 Kitir '!$X$23</f>
        <v>19.11009360164616</v>
      </c>
      <c r="V4" s="3">
        <f>'1 Kitir '!$X$24</f>
        <v>22.071111111111112</v>
      </c>
      <c r="W4" s="3">
        <f>'1 Kitir '!$X$25</f>
        <v>25.749629629629631</v>
      </c>
      <c r="Y4" s="8"/>
      <c r="Z4" s="2">
        <v>1</v>
      </c>
      <c r="AA4" s="3">
        <f>'1 Kitir '!AG3</f>
        <v>9.1333333333333329</v>
      </c>
      <c r="AB4" s="3">
        <f>'1 Kitir '!$AH$22</f>
        <v>10.829229773675284</v>
      </c>
      <c r="AC4" s="3">
        <f>'1 Kitir '!$AH$23</f>
        <v>4.8929924485469414</v>
      </c>
      <c r="AD4" s="3">
        <f>'1 Kitir '!$AH$24</f>
        <v>7.8611111111111125</v>
      </c>
      <c r="AE4" s="3">
        <f>'1 Kitir '!$AH$25</f>
        <v>9.1712962962962976</v>
      </c>
      <c r="AF4" s="8"/>
      <c r="AG4" s="8"/>
      <c r="AH4" s="2">
        <v>1</v>
      </c>
      <c r="AI4" s="3">
        <f>'1 Kitir '!AQ3</f>
        <v>42.25</v>
      </c>
      <c r="AJ4" s="3">
        <f>'1 Kitir '!$AR$22</f>
        <v>44.661274341216121</v>
      </c>
      <c r="AK4" s="3">
        <f>'1 Kitir '!$AR$23</f>
        <v>35.887614547672747</v>
      </c>
      <c r="AL4" s="3">
        <f>'1 Kitir '!$AR$24</f>
        <v>40.274444444444434</v>
      </c>
      <c r="AM4" s="3">
        <f>'1 Kitir '!$AR$25</f>
        <v>46.986851851851846</v>
      </c>
      <c r="AN4" s="3">
        <f>'1 Kitir '!$AR$26</f>
        <v>47.00699770801242</v>
      </c>
      <c r="AR4" s="8">
        <f>C4+K4+S4+AA4+AI4</f>
        <v>127.47999999999999</v>
      </c>
    </row>
    <row r="5" spans="2:44" x14ac:dyDescent="0.35">
      <c r="B5" s="2">
        <v>2</v>
      </c>
      <c r="C5" s="3">
        <f>'1 Kitir '!C4</f>
        <v>27.016666666666666</v>
      </c>
      <c r="D5" s="3">
        <f>'1 Kitir '!$D$22</f>
        <v>35.792561356758171</v>
      </c>
      <c r="E5" s="3">
        <f>'1 Kitir '!$D$23</f>
        <v>17.765216421019609</v>
      </c>
      <c r="F5" s="3">
        <f>'1 Kitir '!$D$24</f>
        <v>26.77888888888889</v>
      </c>
      <c r="G5" s="3">
        <f>'1 Kitir '!$D$25</f>
        <v>31.24203703703704</v>
      </c>
      <c r="H5" s="8">
        <f>'1 Kitir '!$D$26</f>
        <v>31.255432222275157</v>
      </c>
      <c r="J5" s="2">
        <v>2</v>
      </c>
      <c r="K5" s="3">
        <f>'1 Kitir '!M4</f>
        <v>24.4</v>
      </c>
      <c r="L5" s="3">
        <f>'1 Kitir '!$N$22</f>
        <v>26.675428206985409</v>
      </c>
      <c r="M5" s="3">
        <f>'1 Kitir '!$N$23</f>
        <v>17.204127348570154</v>
      </c>
      <c r="N5" s="3">
        <f>'1 Kitir '!$N$24</f>
        <v>21.939777777777781</v>
      </c>
      <c r="O5" s="3">
        <f>'1 Kitir '!$N$25</f>
        <v>25.596407407407412</v>
      </c>
      <c r="Q5" s="8"/>
      <c r="R5" s="2">
        <v>2</v>
      </c>
      <c r="S5" s="3">
        <f>'1 Kitir '!W4</f>
        <v>22.95</v>
      </c>
      <c r="T5" s="3">
        <f>'1 Kitir '!$X$22</f>
        <v>25.032128620576064</v>
      </c>
      <c r="U5" s="3">
        <f>'1 Kitir '!$X$23</f>
        <v>19.11009360164616</v>
      </c>
      <c r="V5" s="3">
        <f>'1 Kitir '!$X$24</f>
        <v>22.071111111111112</v>
      </c>
      <c r="W5" s="3">
        <f>'1 Kitir '!$X$25</f>
        <v>25.749629629629631</v>
      </c>
      <c r="Y5" s="8"/>
      <c r="Z5" s="2">
        <v>2</v>
      </c>
      <c r="AA5" s="3">
        <f>'1 Kitir '!AG4</f>
        <v>7.333333333333333</v>
      </c>
      <c r="AB5" s="3">
        <f>'1 Kitir '!$AH$22</f>
        <v>10.829229773675284</v>
      </c>
      <c r="AC5" s="3">
        <f>'1 Kitir '!$AH$23</f>
        <v>4.8929924485469414</v>
      </c>
      <c r="AD5" s="3">
        <f>'1 Kitir '!$AH$24</f>
        <v>7.8611111111111125</v>
      </c>
      <c r="AE5" s="3">
        <f>'1 Kitir '!$AH$25</f>
        <v>9.1712962962962976</v>
      </c>
      <c r="AF5" s="8"/>
      <c r="AG5" s="8"/>
      <c r="AH5" s="2">
        <v>2</v>
      </c>
      <c r="AI5" s="3">
        <f>'1 Kitir '!AQ4</f>
        <v>42.133333333333333</v>
      </c>
      <c r="AJ5" s="3">
        <f>'1 Kitir '!$AR$22</f>
        <v>44.661274341216121</v>
      </c>
      <c r="AK5" s="3">
        <f>'1 Kitir '!$AR$23</f>
        <v>35.887614547672747</v>
      </c>
      <c r="AL5" s="3">
        <f>'1 Kitir '!$AR$24</f>
        <v>40.274444444444434</v>
      </c>
      <c r="AM5" s="3">
        <f>'1 Kitir '!$AR$25</f>
        <v>46.986851851851846</v>
      </c>
      <c r="AN5" s="3">
        <f>'1 Kitir '!$AR$26</f>
        <v>47.00699770801242</v>
      </c>
      <c r="AR5" s="8">
        <f t="shared" ref="AR5:AR18" si="0">C5+K5+S5+AA5+AI5</f>
        <v>123.83333333333331</v>
      </c>
    </row>
    <row r="6" spans="2:44" x14ac:dyDescent="0.35">
      <c r="B6" s="2">
        <v>3</v>
      </c>
      <c r="C6" s="3">
        <f>'1 Kitir '!C5</f>
        <v>25.35</v>
      </c>
      <c r="D6" s="3">
        <f>'1 Kitir '!$D$22</f>
        <v>35.792561356758171</v>
      </c>
      <c r="E6" s="3">
        <f>'1 Kitir '!$D$23</f>
        <v>17.765216421019609</v>
      </c>
      <c r="F6" s="3">
        <f>'1 Kitir '!$D$24</f>
        <v>26.77888888888889</v>
      </c>
      <c r="G6" s="3">
        <f>'1 Kitir '!$D$25</f>
        <v>31.24203703703704</v>
      </c>
      <c r="H6" s="8">
        <f>'1 Kitir '!$D$26</f>
        <v>31.255432222275157</v>
      </c>
      <c r="J6" s="2">
        <v>3</v>
      </c>
      <c r="K6" s="3">
        <f>'1 Kitir '!M5</f>
        <v>19.3</v>
      </c>
      <c r="L6" s="3">
        <f>'1 Kitir '!$N$22</f>
        <v>26.675428206985409</v>
      </c>
      <c r="M6" s="3">
        <f>'1 Kitir '!$N$23</f>
        <v>17.204127348570154</v>
      </c>
      <c r="N6" s="3">
        <f>'1 Kitir '!$N$24</f>
        <v>21.939777777777781</v>
      </c>
      <c r="O6" s="3">
        <f>'1 Kitir '!$N$25</f>
        <v>25.596407407407412</v>
      </c>
      <c r="Q6" s="8"/>
      <c r="R6" s="2">
        <v>3</v>
      </c>
      <c r="S6" s="3">
        <f>'1 Kitir '!W5</f>
        <v>20.516666666666666</v>
      </c>
      <c r="T6" s="3">
        <f>'1 Kitir '!$X$22</f>
        <v>25.032128620576064</v>
      </c>
      <c r="U6" s="3">
        <f>'1 Kitir '!$X$23</f>
        <v>19.11009360164616</v>
      </c>
      <c r="V6" s="3">
        <f>'1 Kitir '!$X$24</f>
        <v>22.071111111111112</v>
      </c>
      <c r="W6" s="3">
        <f>'1 Kitir '!$X$25</f>
        <v>25.749629629629631</v>
      </c>
      <c r="Y6" s="8"/>
      <c r="Z6" s="2">
        <v>3</v>
      </c>
      <c r="AA6" s="3">
        <f>'1 Kitir '!AG5</f>
        <v>5.95</v>
      </c>
      <c r="AB6" s="3">
        <f>'1 Kitir '!$AH$22</f>
        <v>10.829229773675284</v>
      </c>
      <c r="AC6" s="3">
        <f>'1 Kitir '!$AH$23</f>
        <v>4.8929924485469414</v>
      </c>
      <c r="AD6" s="3">
        <f>'1 Kitir '!$AH$24</f>
        <v>7.8611111111111125</v>
      </c>
      <c r="AE6" s="3">
        <f>'1 Kitir '!$AH$25</f>
        <v>9.1712962962962976</v>
      </c>
      <c r="AF6" s="8"/>
      <c r="AG6" s="8"/>
      <c r="AH6" s="2">
        <v>3</v>
      </c>
      <c r="AI6" s="3">
        <f>'1 Kitir '!AQ5</f>
        <v>38.68333333333333</v>
      </c>
      <c r="AJ6" s="3">
        <f>'1 Kitir '!$AR$22</f>
        <v>44.661274341216121</v>
      </c>
      <c r="AK6" s="3">
        <f>'1 Kitir '!$AR$23</f>
        <v>35.887614547672747</v>
      </c>
      <c r="AL6" s="3">
        <f>'1 Kitir '!$AR$24</f>
        <v>40.274444444444434</v>
      </c>
      <c r="AM6" s="3">
        <f>'1 Kitir '!$AR$25</f>
        <v>46.986851851851846</v>
      </c>
      <c r="AN6" s="3">
        <f>'1 Kitir '!$AR$26</f>
        <v>47.00699770801242</v>
      </c>
      <c r="AR6" s="8">
        <f t="shared" si="0"/>
        <v>109.80000000000001</v>
      </c>
    </row>
    <row r="7" spans="2:44" x14ac:dyDescent="0.35">
      <c r="B7" s="2">
        <v>4</v>
      </c>
      <c r="C7" s="3">
        <f>'1 Kitir '!C6</f>
        <v>26.15</v>
      </c>
      <c r="D7" s="3">
        <f>'1 Kitir '!$D$22</f>
        <v>35.792561356758171</v>
      </c>
      <c r="E7" s="3">
        <f>'1 Kitir '!$D$23</f>
        <v>17.765216421019609</v>
      </c>
      <c r="F7" s="3">
        <f>'1 Kitir '!$D$24</f>
        <v>26.77888888888889</v>
      </c>
      <c r="G7" s="3">
        <f>'1 Kitir '!$D$25</f>
        <v>31.24203703703704</v>
      </c>
      <c r="H7" s="8">
        <f>'1 Kitir '!$D$26</f>
        <v>31.255432222275157</v>
      </c>
      <c r="J7" s="2">
        <v>4</v>
      </c>
      <c r="K7" s="3">
        <f>'1 Kitir '!M6</f>
        <v>20.05</v>
      </c>
      <c r="L7" s="3">
        <f>'1 Kitir '!$N$22</f>
        <v>26.675428206985409</v>
      </c>
      <c r="M7" s="3">
        <f>'1 Kitir '!$N$23</f>
        <v>17.204127348570154</v>
      </c>
      <c r="N7" s="3">
        <f>'1 Kitir '!$N$24</f>
        <v>21.939777777777781</v>
      </c>
      <c r="O7" s="3">
        <f>'1 Kitir '!$N$25</f>
        <v>25.596407407407412</v>
      </c>
      <c r="Q7" s="8"/>
      <c r="R7" s="2">
        <v>4</v>
      </c>
      <c r="S7" s="3">
        <f>'1 Kitir '!W6</f>
        <v>22.933333333333334</v>
      </c>
      <c r="T7" s="3">
        <f>'1 Kitir '!$X$22</f>
        <v>25.032128620576064</v>
      </c>
      <c r="U7" s="3">
        <f>'1 Kitir '!$X$23</f>
        <v>19.11009360164616</v>
      </c>
      <c r="V7" s="3">
        <f>'1 Kitir '!$X$24</f>
        <v>22.071111111111112</v>
      </c>
      <c r="W7" s="3">
        <f>'1 Kitir '!$X$25</f>
        <v>25.749629629629631</v>
      </c>
      <c r="Y7" s="8"/>
      <c r="Z7" s="2">
        <v>4</v>
      </c>
      <c r="AA7" s="3">
        <f>'1 Kitir '!AG6</f>
        <v>7.1166666666666663</v>
      </c>
      <c r="AB7" s="3">
        <f>'1 Kitir '!$AH$22</f>
        <v>10.829229773675284</v>
      </c>
      <c r="AC7" s="3">
        <f>'1 Kitir '!$AH$23</f>
        <v>4.8929924485469414</v>
      </c>
      <c r="AD7" s="3">
        <f>'1 Kitir '!$AH$24</f>
        <v>7.8611111111111125</v>
      </c>
      <c r="AE7" s="3">
        <f>'1 Kitir '!$AH$25</f>
        <v>9.1712962962962976</v>
      </c>
      <c r="AF7" s="8"/>
      <c r="AG7" s="8"/>
      <c r="AH7" s="2">
        <v>4</v>
      </c>
      <c r="AI7" s="3">
        <f>'1 Kitir '!AQ6</f>
        <v>35.85</v>
      </c>
      <c r="AJ7" s="3">
        <f>'1 Kitir '!$AR$22</f>
        <v>44.661274341216121</v>
      </c>
      <c r="AK7" s="3">
        <f>'1 Kitir '!$AR$23</f>
        <v>35.887614547672747</v>
      </c>
      <c r="AL7" s="3">
        <f>'1 Kitir '!$AR$24</f>
        <v>40.274444444444434</v>
      </c>
      <c r="AM7" s="3">
        <f>'1 Kitir '!$AR$25</f>
        <v>46.986851851851846</v>
      </c>
      <c r="AN7" s="3">
        <f>'1 Kitir '!$AR$26</f>
        <v>47.00699770801242</v>
      </c>
      <c r="AR7" s="8">
        <f t="shared" si="0"/>
        <v>112.1</v>
      </c>
    </row>
    <row r="8" spans="2:44" x14ac:dyDescent="0.35">
      <c r="B8" s="2">
        <v>5</v>
      </c>
      <c r="C8" s="3">
        <f>'1 Kitir '!C7</f>
        <v>29.583333333333332</v>
      </c>
      <c r="D8" s="3">
        <f>'1 Kitir '!$D$22</f>
        <v>35.792561356758171</v>
      </c>
      <c r="E8" s="3">
        <f>'1 Kitir '!$D$23</f>
        <v>17.765216421019609</v>
      </c>
      <c r="F8" s="3">
        <f>'1 Kitir '!$D$24</f>
        <v>26.77888888888889</v>
      </c>
      <c r="G8" s="3">
        <f>'1 Kitir '!$D$25</f>
        <v>31.24203703703704</v>
      </c>
      <c r="H8" s="8">
        <f>'1 Kitir '!$D$26</f>
        <v>31.255432222275157</v>
      </c>
      <c r="J8" s="2">
        <v>5</v>
      </c>
      <c r="K8" s="3">
        <f>'1 Kitir '!M7</f>
        <v>21.75</v>
      </c>
      <c r="L8" s="3">
        <f>'1 Kitir '!$N$22</f>
        <v>26.675428206985409</v>
      </c>
      <c r="M8" s="3">
        <f>'1 Kitir '!$N$23</f>
        <v>17.204127348570154</v>
      </c>
      <c r="N8" s="3">
        <f>'1 Kitir '!$N$24</f>
        <v>21.939777777777781</v>
      </c>
      <c r="O8" s="3">
        <f>'1 Kitir '!$N$25</f>
        <v>25.596407407407412</v>
      </c>
      <c r="Q8" s="8"/>
      <c r="R8" s="2">
        <v>5</v>
      </c>
      <c r="S8" s="3">
        <f>'1 Kitir '!W7</f>
        <v>23.833333333333332</v>
      </c>
      <c r="T8" s="3">
        <f>'1 Kitir '!$X$22</f>
        <v>25.032128620576064</v>
      </c>
      <c r="U8" s="3">
        <f>'1 Kitir '!$X$23</f>
        <v>19.11009360164616</v>
      </c>
      <c r="V8" s="3">
        <f>'1 Kitir '!$X$24</f>
        <v>22.071111111111112</v>
      </c>
      <c r="W8" s="3">
        <f>'1 Kitir '!$X$25</f>
        <v>25.749629629629631</v>
      </c>
      <c r="Y8" s="8"/>
      <c r="Z8" s="2">
        <v>5</v>
      </c>
      <c r="AA8" s="3">
        <f>'1 Kitir '!AG7</f>
        <v>6.833333333333333</v>
      </c>
      <c r="AB8" s="3">
        <f>'1 Kitir '!$AH$22</f>
        <v>10.829229773675284</v>
      </c>
      <c r="AC8" s="3">
        <f>'1 Kitir '!$AH$23</f>
        <v>4.8929924485469414</v>
      </c>
      <c r="AD8" s="3">
        <f>'1 Kitir '!$AH$24</f>
        <v>7.8611111111111125</v>
      </c>
      <c r="AE8" s="3">
        <f>'1 Kitir '!$AH$25</f>
        <v>9.1712962962962976</v>
      </c>
      <c r="AF8" s="8"/>
      <c r="AG8" s="8"/>
      <c r="AH8" s="2">
        <v>5</v>
      </c>
      <c r="AI8" s="3">
        <f>'1 Kitir '!AQ7</f>
        <v>36.666666666666664</v>
      </c>
      <c r="AJ8" s="3">
        <f>'1 Kitir '!$AR$22</f>
        <v>44.661274341216121</v>
      </c>
      <c r="AK8" s="3">
        <f>'1 Kitir '!$AR$23</f>
        <v>35.887614547672747</v>
      </c>
      <c r="AL8" s="3">
        <f>'1 Kitir '!$AR$24</f>
        <v>40.274444444444434</v>
      </c>
      <c r="AM8" s="3">
        <f>'1 Kitir '!$AR$25</f>
        <v>46.986851851851846</v>
      </c>
      <c r="AN8" s="3">
        <f>'1 Kitir '!$AR$26</f>
        <v>47.00699770801242</v>
      </c>
      <c r="AR8" s="8">
        <f t="shared" si="0"/>
        <v>118.66666666666666</v>
      </c>
    </row>
    <row r="9" spans="2:44" x14ac:dyDescent="0.35">
      <c r="B9" s="2">
        <v>6</v>
      </c>
      <c r="C9" s="3">
        <f>'1 Kitir '!C8</f>
        <v>25.366666666666667</v>
      </c>
      <c r="D9" s="3">
        <f>'1 Kitir '!$D$22</f>
        <v>35.792561356758171</v>
      </c>
      <c r="E9" s="3">
        <f>'1 Kitir '!$D$23</f>
        <v>17.765216421019609</v>
      </c>
      <c r="F9" s="3">
        <f>'1 Kitir '!$D$24</f>
        <v>26.77888888888889</v>
      </c>
      <c r="G9" s="3">
        <f>'1 Kitir '!$D$25</f>
        <v>31.24203703703704</v>
      </c>
      <c r="H9" s="8">
        <f>'1 Kitir '!$D$26</f>
        <v>31.255432222275157</v>
      </c>
      <c r="J9" s="2">
        <v>6</v>
      </c>
      <c r="K9" s="3">
        <f>'1 Kitir '!M8</f>
        <v>23.166666666666668</v>
      </c>
      <c r="L9" s="3">
        <f>'1 Kitir '!$N$22</f>
        <v>26.675428206985409</v>
      </c>
      <c r="M9" s="3">
        <f>'1 Kitir '!$N$23</f>
        <v>17.204127348570154</v>
      </c>
      <c r="N9" s="3">
        <f>'1 Kitir '!$N$24</f>
        <v>21.939777777777781</v>
      </c>
      <c r="O9" s="3">
        <f>'1 Kitir '!$N$25</f>
        <v>25.596407407407412</v>
      </c>
      <c r="Q9" s="8"/>
      <c r="R9" s="2">
        <v>6</v>
      </c>
      <c r="S9" s="3">
        <f>'1 Kitir '!W8</f>
        <v>23.533333333333335</v>
      </c>
      <c r="T9" s="3">
        <f>'1 Kitir '!$X$22</f>
        <v>25.032128620576064</v>
      </c>
      <c r="U9" s="3">
        <f>'1 Kitir '!$X$23</f>
        <v>19.11009360164616</v>
      </c>
      <c r="V9" s="3">
        <f>'1 Kitir '!$X$24</f>
        <v>22.071111111111112</v>
      </c>
      <c r="W9" s="3">
        <f>'1 Kitir '!$X$25</f>
        <v>25.749629629629631</v>
      </c>
      <c r="Y9" s="8"/>
      <c r="Z9" s="2">
        <v>6</v>
      </c>
      <c r="AA9" s="3">
        <f>'1 Kitir '!AG8</f>
        <v>7.6</v>
      </c>
      <c r="AB9" s="3">
        <f>'1 Kitir '!$AH$22</f>
        <v>10.829229773675284</v>
      </c>
      <c r="AC9" s="3">
        <f>'1 Kitir '!$AH$23</f>
        <v>4.8929924485469414</v>
      </c>
      <c r="AD9" s="3">
        <f>'1 Kitir '!$AH$24</f>
        <v>7.8611111111111125</v>
      </c>
      <c r="AE9" s="3">
        <f>'1 Kitir '!$AH$25</f>
        <v>9.1712962962962976</v>
      </c>
      <c r="AF9" s="8"/>
      <c r="AG9" s="8"/>
      <c r="AH9" s="2">
        <v>6</v>
      </c>
      <c r="AI9" s="3">
        <f>'1 Kitir '!AQ8</f>
        <v>42.2</v>
      </c>
      <c r="AJ9" s="3">
        <f>'1 Kitir '!$AR$22</f>
        <v>44.661274341216121</v>
      </c>
      <c r="AK9" s="3">
        <f>'1 Kitir '!$AR$23</f>
        <v>35.887614547672747</v>
      </c>
      <c r="AL9" s="3">
        <f>'1 Kitir '!$AR$24</f>
        <v>40.274444444444434</v>
      </c>
      <c r="AM9" s="3">
        <f>'1 Kitir '!$AR$25</f>
        <v>46.986851851851846</v>
      </c>
      <c r="AN9" s="3">
        <f>'1 Kitir '!$AR$26</f>
        <v>47.00699770801242</v>
      </c>
      <c r="AR9" s="8">
        <f t="shared" si="0"/>
        <v>121.86666666666666</v>
      </c>
    </row>
    <row r="10" spans="2:44" x14ac:dyDescent="0.35">
      <c r="B10" s="2">
        <v>7</v>
      </c>
      <c r="C10" s="3">
        <f>'1 Kitir '!C9</f>
        <v>29</v>
      </c>
      <c r="D10" s="3">
        <f>'1 Kitir '!$D$22</f>
        <v>35.792561356758171</v>
      </c>
      <c r="E10" s="3">
        <f>'1 Kitir '!$D$23</f>
        <v>17.765216421019609</v>
      </c>
      <c r="F10" s="3">
        <f>'1 Kitir '!$D$24</f>
        <v>26.77888888888889</v>
      </c>
      <c r="G10" s="3">
        <f>'1 Kitir '!$D$25</f>
        <v>31.24203703703704</v>
      </c>
      <c r="H10" s="8">
        <f>'1 Kitir '!$D$26</f>
        <v>31.255432222275157</v>
      </c>
      <c r="J10" s="2">
        <v>7</v>
      </c>
      <c r="K10" s="3">
        <f>'1 Kitir '!M9</f>
        <v>20.350000000000001</v>
      </c>
      <c r="L10" s="3">
        <f>'1 Kitir '!$N$22</f>
        <v>26.675428206985409</v>
      </c>
      <c r="M10" s="3">
        <f>'1 Kitir '!$N$23</f>
        <v>17.204127348570154</v>
      </c>
      <c r="N10" s="3">
        <f>'1 Kitir '!$N$24</f>
        <v>21.939777777777781</v>
      </c>
      <c r="O10" s="3">
        <f>'1 Kitir '!$N$25</f>
        <v>25.596407407407412</v>
      </c>
      <c r="Q10" s="8"/>
      <c r="R10" s="2">
        <v>7</v>
      </c>
      <c r="S10" s="3">
        <f>'1 Kitir '!W9</f>
        <v>20.95</v>
      </c>
      <c r="T10" s="3">
        <f>'1 Kitir '!$X$22</f>
        <v>25.032128620576064</v>
      </c>
      <c r="U10" s="3">
        <f>'1 Kitir '!$X$23</f>
        <v>19.11009360164616</v>
      </c>
      <c r="V10" s="3">
        <f>'1 Kitir '!$X$24</f>
        <v>22.071111111111112</v>
      </c>
      <c r="W10" s="3">
        <f>'1 Kitir '!$X$25</f>
        <v>25.749629629629631</v>
      </c>
      <c r="Y10" s="8"/>
      <c r="Z10" s="2">
        <v>7</v>
      </c>
      <c r="AA10" s="3">
        <f>'1 Kitir '!AG9</f>
        <v>8.0166666666666675</v>
      </c>
      <c r="AB10" s="3">
        <f>'1 Kitir '!$AH$22</f>
        <v>10.829229773675284</v>
      </c>
      <c r="AC10" s="3">
        <f>'1 Kitir '!$AH$23</f>
        <v>4.8929924485469414</v>
      </c>
      <c r="AD10" s="3">
        <f>'1 Kitir '!$AH$24</f>
        <v>7.8611111111111125</v>
      </c>
      <c r="AE10" s="3">
        <f>'1 Kitir '!$AH$25</f>
        <v>9.1712962962962976</v>
      </c>
      <c r="AF10" s="8"/>
      <c r="AG10" s="8"/>
      <c r="AH10" s="2">
        <v>7</v>
      </c>
      <c r="AI10" s="3">
        <f>'1 Kitir '!AQ9</f>
        <v>40.9</v>
      </c>
      <c r="AJ10" s="3">
        <f>'1 Kitir '!$AR$22</f>
        <v>44.661274341216121</v>
      </c>
      <c r="AK10" s="3">
        <f>'1 Kitir '!$AR$23</f>
        <v>35.887614547672747</v>
      </c>
      <c r="AL10" s="3">
        <f>'1 Kitir '!$AR$24</f>
        <v>40.274444444444434</v>
      </c>
      <c r="AM10" s="3">
        <f>'1 Kitir '!$AR$25</f>
        <v>46.986851851851846</v>
      </c>
      <c r="AN10" s="3">
        <f>'1 Kitir '!$AR$26</f>
        <v>47.00699770801242</v>
      </c>
      <c r="AR10" s="8">
        <f t="shared" si="0"/>
        <v>119.21666666666667</v>
      </c>
    </row>
    <row r="11" spans="2:44" x14ac:dyDescent="0.35">
      <c r="B11" s="2">
        <v>8</v>
      </c>
      <c r="C11" s="3">
        <f>'1 Kitir '!C10</f>
        <v>25.783333333333335</v>
      </c>
      <c r="D11" s="3">
        <f>'1 Kitir '!$D$22</f>
        <v>35.792561356758171</v>
      </c>
      <c r="E11" s="3">
        <f>'1 Kitir '!$D$23</f>
        <v>17.765216421019609</v>
      </c>
      <c r="F11" s="3">
        <f>'1 Kitir '!$D$24</f>
        <v>26.77888888888889</v>
      </c>
      <c r="G11" s="3">
        <f>'1 Kitir '!$D$25</f>
        <v>31.24203703703704</v>
      </c>
      <c r="H11" s="8">
        <f>'1 Kitir '!$D$26</f>
        <v>31.255432222275157</v>
      </c>
      <c r="J11" s="2">
        <v>8</v>
      </c>
      <c r="K11" s="3">
        <f>'1 Kitir '!M10</f>
        <v>19.183333333333302</v>
      </c>
      <c r="L11" s="3">
        <f>'1 Kitir '!$N$22</f>
        <v>26.675428206985409</v>
      </c>
      <c r="M11" s="3">
        <f>'1 Kitir '!$N$23</f>
        <v>17.204127348570154</v>
      </c>
      <c r="N11" s="3">
        <f>'1 Kitir '!$N$24</f>
        <v>21.939777777777781</v>
      </c>
      <c r="O11" s="3">
        <f>'1 Kitir '!$N$25</f>
        <v>25.596407407407412</v>
      </c>
      <c r="Q11" s="8"/>
      <c r="R11" s="2">
        <v>8</v>
      </c>
      <c r="S11" s="3">
        <f>'1 Kitir '!W10</f>
        <v>19.866666666666667</v>
      </c>
      <c r="T11" s="3">
        <f>'1 Kitir '!$X$22</f>
        <v>25.032128620576064</v>
      </c>
      <c r="U11" s="3">
        <f>'1 Kitir '!$X$23</f>
        <v>19.11009360164616</v>
      </c>
      <c r="V11" s="3">
        <f>'1 Kitir '!$X$24</f>
        <v>22.071111111111112</v>
      </c>
      <c r="W11" s="3">
        <f>'1 Kitir '!$X$25</f>
        <v>25.749629629629631</v>
      </c>
      <c r="Y11" s="8"/>
      <c r="Z11" s="2">
        <v>8</v>
      </c>
      <c r="AA11" s="3">
        <f>'1 Kitir '!AG10</f>
        <v>7.4333333333333336</v>
      </c>
      <c r="AB11" s="3">
        <f>'1 Kitir '!$AH$22</f>
        <v>10.829229773675284</v>
      </c>
      <c r="AC11" s="3">
        <f>'1 Kitir '!$AH$23</f>
        <v>4.8929924485469414</v>
      </c>
      <c r="AD11" s="3">
        <f>'1 Kitir '!$AH$24</f>
        <v>7.8611111111111125</v>
      </c>
      <c r="AE11" s="3">
        <f>'1 Kitir '!$AH$25</f>
        <v>9.1712962962962976</v>
      </c>
      <c r="AF11" s="8"/>
      <c r="AG11" s="8"/>
      <c r="AH11" s="2">
        <v>8</v>
      </c>
      <c r="AI11" s="3">
        <f>'1 Kitir '!AQ10</f>
        <v>40.65</v>
      </c>
      <c r="AJ11" s="3">
        <f>'1 Kitir '!$AR$22</f>
        <v>44.661274341216121</v>
      </c>
      <c r="AK11" s="3">
        <f>'1 Kitir '!$AR$23</f>
        <v>35.887614547672747</v>
      </c>
      <c r="AL11" s="3">
        <f>'1 Kitir '!$AR$24</f>
        <v>40.274444444444434</v>
      </c>
      <c r="AM11" s="3">
        <f>'1 Kitir '!$AR$25</f>
        <v>46.986851851851846</v>
      </c>
      <c r="AN11" s="3">
        <f>'1 Kitir '!$AR$26</f>
        <v>47.00699770801242</v>
      </c>
      <c r="AR11" s="8">
        <f t="shared" si="0"/>
        <v>112.91666666666666</v>
      </c>
    </row>
    <row r="12" spans="2:44" x14ac:dyDescent="0.35">
      <c r="B12" s="2">
        <v>9</v>
      </c>
      <c r="C12" s="3">
        <f>'1 Kitir '!C11</f>
        <v>29.45</v>
      </c>
      <c r="D12" s="3">
        <f>'1 Kitir '!$D$22</f>
        <v>35.792561356758171</v>
      </c>
      <c r="E12" s="3">
        <f>'1 Kitir '!$D$23</f>
        <v>17.765216421019609</v>
      </c>
      <c r="F12" s="3">
        <f>'1 Kitir '!$D$24</f>
        <v>26.77888888888889</v>
      </c>
      <c r="G12" s="3">
        <f>'1 Kitir '!$D$25</f>
        <v>31.24203703703704</v>
      </c>
      <c r="H12" s="8">
        <f>'1 Kitir '!$D$26</f>
        <v>31.255432222275157</v>
      </c>
      <c r="J12" s="2">
        <v>9</v>
      </c>
      <c r="K12" s="3">
        <f>'1 Kitir '!M11</f>
        <v>21.65</v>
      </c>
      <c r="L12" s="3">
        <f>'1 Kitir '!$N$22</f>
        <v>26.675428206985409</v>
      </c>
      <c r="M12" s="3">
        <f>'1 Kitir '!$N$23</f>
        <v>17.204127348570154</v>
      </c>
      <c r="N12" s="3">
        <f>'1 Kitir '!$N$24</f>
        <v>21.939777777777781</v>
      </c>
      <c r="O12" s="3">
        <f>'1 Kitir '!$N$25</f>
        <v>25.596407407407412</v>
      </c>
      <c r="Q12" s="8"/>
      <c r="R12" s="2">
        <v>9</v>
      </c>
      <c r="S12" s="3">
        <f>'1 Kitir '!W11</f>
        <v>22.283333333333335</v>
      </c>
      <c r="T12" s="3">
        <f>'1 Kitir '!$X$22</f>
        <v>25.032128620576064</v>
      </c>
      <c r="U12" s="3">
        <f>'1 Kitir '!$X$23</f>
        <v>19.11009360164616</v>
      </c>
      <c r="V12" s="3">
        <f>'1 Kitir '!$X$24</f>
        <v>22.071111111111112</v>
      </c>
      <c r="W12" s="3">
        <f>'1 Kitir '!$X$25</f>
        <v>25.749629629629631</v>
      </c>
      <c r="Y12" s="8"/>
      <c r="Z12" s="2">
        <v>9</v>
      </c>
      <c r="AA12" s="3">
        <f>'1 Kitir '!AG11</f>
        <v>8.3000000000000007</v>
      </c>
      <c r="AB12" s="3">
        <f>'1 Kitir '!$AH$22</f>
        <v>10.829229773675284</v>
      </c>
      <c r="AC12" s="3">
        <f>'1 Kitir '!$AH$23</f>
        <v>4.8929924485469414</v>
      </c>
      <c r="AD12" s="3">
        <f>'1 Kitir '!$AH$24</f>
        <v>7.8611111111111125</v>
      </c>
      <c r="AE12" s="3">
        <f>'1 Kitir '!$AH$25</f>
        <v>9.1712962962962976</v>
      </c>
      <c r="AF12" s="8"/>
      <c r="AG12" s="8"/>
      <c r="AH12" s="2">
        <v>9</v>
      </c>
      <c r="AI12" s="3">
        <f>'1 Kitir '!AQ11</f>
        <v>41.983333333333334</v>
      </c>
      <c r="AJ12" s="3">
        <f>'1 Kitir '!$AR$22</f>
        <v>44.661274341216121</v>
      </c>
      <c r="AK12" s="3">
        <f>'1 Kitir '!$AR$23</f>
        <v>35.887614547672747</v>
      </c>
      <c r="AL12" s="3">
        <f>'1 Kitir '!$AR$24</f>
        <v>40.274444444444434</v>
      </c>
      <c r="AM12" s="3">
        <f>'1 Kitir '!$AR$25</f>
        <v>46.986851851851846</v>
      </c>
      <c r="AN12" s="3">
        <f>'1 Kitir '!$AR$26</f>
        <v>47.00699770801242</v>
      </c>
      <c r="AR12" s="8">
        <f t="shared" si="0"/>
        <v>123.66666666666666</v>
      </c>
    </row>
    <row r="13" spans="2:44" x14ac:dyDescent="0.35">
      <c r="B13" s="2">
        <v>10</v>
      </c>
      <c r="C13" s="3">
        <f>'1 Kitir '!C12</f>
        <v>23.783333333333335</v>
      </c>
      <c r="D13" s="3">
        <f>'1 Kitir '!$D$22</f>
        <v>35.792561356758171</v>
      </c>
      <c r="E13" s="3">
        <f>'1 Kitir '!$D$23</f>
        <v>17.765216421019609</v>
      </c>
      <c r="F13" s="3">
        <f>'1 Kitir '!$D$24</f>
        <v>26.77888888888889</v>
      </c>
      <c r="G13" s="3">
        <f>'1 Kitir '!$D$25</f>
        <v>31.24203703703704</v>
      </c>
      <c r="H13" s="8">
        <f>'1 Kitir '!$D$26</f>
        <v>31.255432222275157</v>
      </c>
      <c r="J13" s="2">
        <v>10</v>
      </c>
      <c r="K13" s="3">
        <f>'1 Kitir '!M12</f>
        <v>25.283333333333335</v>
      </c>
      <c r="L13" s="3">
        <f>'1 Kitir '!$N$22</f>
        <v>26.675428206985409</v>
      </c>
      <c r="M13" s="3">
        <f>'1 Kitir '!$N$23</f>
        <v>17.204127348570154</v>
      </c>
      <c r="N13" s="3">
        <f>'1 Kitir '!$N$24</f>
        <v>21.939777777777781</v>
      </c>
      <c r="O13" s="3">
        <f>'1 Kitir '!$N$25</f>
        <v>25.596407407407412</v>
      </c>
      <c r="Q13" s="8"/>
      <c r="R13" s="2">
        <v>10</v>
      </c>
      <c r="S13" s="3">
        <f>'1 Kitir '!W12</f>
        <v>24.483333333333334</v>
      </c>
      <c r="T13" s="3">
        <f>'1 Kitir '!$X$22</f>
        <v>25.032128620576064</v>
      </c>
      <c r="U13" s="3">
        <f>'1 Kitir '!$X$23</f>
        <v>19.11009360164616</v>
      </c>
      <c r="V13" s="3">
        <f>'1 Kitir '!$X$24</f>
        <v>22.071111111111112</v>
      </c>
      <c r="W13" s="3">
        <f>'1 Kitir '!$X$25</f>
        <v>25.749629629629631</v>
      </c>
      <c r="Y13" s="8"/>
      <c r="Z13" s="2">
        <v>10</v>
      </c>
      <c r="AA13" s="3">
        <f>'1 Kitir '!AG12</f>
        <v>10.7</v>
      </c>
      <c r="AB13" s="3">
        <f>'1 Kitir '!$AH$22</f>
        <v>10.829229773675284</v>
      </c>
      <c r="AC13" s="3">
        <f>'1 Kitir '!$AH$23</f>
        <v>4.8929924485469414</v>
      </c>
      <c r="AD13" s="3">
        <f>'1 Kitir '!$AH$24</f>
        <v>7.8611111111111125</v>
      </c>
      <c r="AE13" s="3">
        <f>'1 Kitir '!$AH$25</f>
        <v>9.1712962962962976</v>
      </c>
      <c r="AF13" s="8"/>
      <c r="AG13" s="8"/>
      <c r="AH13" s="2">
        <v>10</v>
      </c>
      <c r="AI13" s="3">
        <f>'1 Kitir '!AQ12</f>
        <v>42.43333333333333</v>
      </c>
      <c r="AJ13" s="3">
        <f>'1 Kitir '!$AR$22</f>
        <v>44.661274341216121</v>
      </c>
      <c r="AK13" s="3">
        <f>'1 Kitir '!$AR$23</f>
        <v>35.887614547672747</v>
      </c>
      <c r="AL13" s="3">
        <f>'1 Kitir '!$AR$24</f>
        <v>40.274444444444434</v>
      </c>
      <c r="AM13" s="3">
        <f>'1 Kitir '!$AR$25</f>
        <v>46.986851851851846</v>
      </c>
      <c r="AN13" s="3">
        <f>'1 Kitir '!$AR$26</f>
        <v>47.00699770801242</v>
      </c>
      <c r="AR13" s="8">
        <f t="shared" si="0"/>
        <v>126.68333333333334</v>
      </c>
    </row>
    <row r="14" spans="2:44" x14ac:dyDescent="0.35">
      <c r="B14" s="2">
        <v>11</v>
      </c>
      <c r="C14" s="3">
        <f>'1 Kitir '!C13</f>
        <v>21.65</v>
      </c>
      <c r="D14" s="3">
        <f>'1 Kitir '!$D$22</f>
        <v>35.792561356758171</v>
      </c>
      <c r="E14" s="3">
        <f>'1 Kitir '!$D$23</f>
        <v>17.765216421019609</v>
      </c>
      <c r="F14" s="3">
        <f>'1 Kitir '!$D$24</f>
        <v>26.77888888888889</v>
      </c>
      <c r="G14" s="3">
        <f>'1 Kitir '!$D$25</f>
        <v>31.24203703703704</v>
      </c>
      <c r="H14" s="8">
        <f>'1 Kitir '!$D$26</f>
        <v>31.255432222275157</v>
      </c>
      <c r="J14" s="2">
        <v>11</v>
      </c>
      <c r="K14" s="3">
        <f>'1 Kitir '!M13</f>
        <v>20.383333333333333</v>
      </c>
      <c r="L14" s="3">
        <f>'1 Kitir '!$N$22</f>
        <v>26.675428206985409</v>
      </c>
      <c r="M14" s="3">
        <f>'1 Kitir '!$N$23</f>
        <v>17.204127348570154</v>
      </c>
      <c r="N14" s="3">
        <f>'1 Kitir '!$N$24</f>
        <v>21.939777777777781</v>
      </c>
      <c r="O14" s="3">
        <f>'1 Kitir '!$N$25</f>
        <v>25.596407407407412</v>
      </c>
      <c r="Q14" s="8"/>
      <c r="R14" s="2">
        <v>11</v>
      </c>
      <c r="S14" s="3">
        <f>'1 Kitir '!W13</f>
        <v>19.45</v>
      </c>
      <c r="T14" s="3">
        <f>'1 Kitir '!$X$22</f>
        <v>25.032128620576064</v>
      </c>
      <c r="U14" s="3">
        <f>'1 Kitir '!$X$23</f>
        <v>19.11009360164616</v>
      </c>
      <c r="V14" s="3">
        <f>'1 Kitir '!$X$24</f>
        <v>22.071111111111112</v>
      </c>
      <c r="W14" s="3">
        <f>'1 Kitir '!$X$25</f>
        <v>25.749629629629631</v>
      </c>
      <c r="Y14" s="8"/>
      <c r="Z14" s="2">
        <v>11</v>
      </c>
      <c r="AA14" s="3">
        <f>'1 Kitir '!AG13</f>
        <v>10.9</v>
      </c>
      <c r="AB14" s="3">
        <f>'1 Kitir '!$AH$22</f>
        <v>10.829229773675284</v>
      </c>
      <c r="AC14" s="3">
        <f>'1 Kitir '!$AH$23</f>
        <v>4.8929924485469414</v>
      </c>
      <c r="AD14" s="3">
        <f>'1 Kitir '!$AH$24</f>
        <v>7.8611111111111125</v>
      </c>
      <c r="AE14" s="3">
        <f>'1 Kitir '!$AH$25</f>
        <v>9.1712962962962976</v>
      </c>
      <c r="AF14" s="8"/>
      <c r="AG14" s="8"/>
      <c r="AH14" s="2">
        <v>11</v>
      </c>
      <c r="AI14" s="3">
        <f>'1 Kitir '!AQ13</f>
        <v>36.966666666666669</v>
      </c>
      <c r="AJ14" s="3">
        <f>'1 Kitir '!$AR$22</f>
        <v>44.661274341216121</v>
      </c>
      <c r="AK14" s="3">
        <f>'1 Kitir '!$AR$23</f>
        <v>35.887614547672747</v>
      </c>
      <c r="AL14" s="3">
        <f>'1 Kitir '!$AR$24</f>
        <v>40.274444444444434</v>
      </c>
      <c r="AM14" s="3">
        <f>'1 Kitir '!$AR$25</f>
        <v>46.986851851851846</v>
      </c>
      <c r="AN14" s="3">
        <f>'1 Kitir '!$AR$26</f>
        <v>47.00699770801242</v>
      </c>
      <c r="AR14" s="8">
        <f t="shared" si="0"/>
        <v>109.35000000000001</v>
      </c>
    </row>
    <row r="15" spans="2:44" x14ac:dyDescent="0.35">
      <c r="B15" s="2">
        <v>12</v>
      </c>
      <c r="C15" s="3">
        <f>'1 Kitir '!C14</f>
        <v>23.633333333333333</v>
      </c>
      <c r="D15" s="3">
        <f>'1 Kitir '!$D$22</f>
        <v>35.792561356758171</v>
      </c>
      <c r="E15" s="3">
        <f>'1 Kitir '!$D$23</f>
        <v>17.765216421019609</v>
      </c>
      <c r="F15" s="3">
        <f>'1 Kitir '!$D$24</f>
        <v>26.77888888888889</v>
      </c>
      <c r="G15" s="3">
        <f>'1 Kitir '!$D$25</f>
        <v>31.24203703703704</v>
      </c>
      <c r="H15" s="8">
        <f>'1 Kitir '!$D$26</f>
        <v>31.255432222275157</v>
      </c>
      <c r="J15" s="2">
        <v>12</v>
      </c>
      <c r="K15" s="3">
        <f>'1 Kitir '!M14</f>
        <v>22.966666666666665</v>
      </c>
      <c r="L15" s="3">
        <f>'1 Kitir '!$N$22</f>
        <v>26.675428206985409</v>
      </c>
      <c r="M15" s="3">
        <f>'1 Kitir '!$N$23</f>
        <v>17.204127348570154</v>
      </c>
      <c r="N15" s="3">
        <f>'1 Kitir '!$N$24</f>
        <v>21.939777777777781</v>
      </c>
      <c r="O15" s="3">
        <f>'1 Kitir '!$N$25</f>
        <v>25.596407407407412</v>
      </c>
      <c r="Q15" s="8"/>
      <c r="R15" s="2">
        <v>12</v>
      </c>
      <c r="S15" s="3">
        <f>'1 Kitir '!W14</f>
        <v>22.5</v>
      </c>
      <c r="T15" s="3">
        <f>'1 Kitir '!$X$22</f>
        <v>25.032128620576064</v>
      </c>
      <c r="U15" s="3">
        <f>'1 Kitir '!$X$23</f>
        <v>19.11009360164616</v>
      </c>
      <c r="V15" s="3">
        <f>'1 Kitir '!$X$24</f>
        <v>22.071111111111112</v>
      </c>
      <c r="W15" s="3">
        <f>'1 Kitir '!$X$25</f>
        <v>25.749629629629631</v>
      </c>
      <c r="Y15" s="8"/>
      <c r="Z15" s="2">
        <v>12</v>
      </c>
      <c r="AA15" s="3">
        <f>'1 Kitir '!AG14</f>
        <v>6.4333333333333336</v>
      </c>
      <c r="AB15" s="3">
        <f>'1 Kitir '!$AH$22</f>
        <v>10.829229773675284</v>
      </c>
      <c r="AC15" s="3">
        <f>'1 Kitir '!$AH$23</f>
        <v>4.8929924485469414</v>
      </c>
      <c r="AD15" s="3">
        <f>'1 Kitir '!$AH$24</f>
        <v>7.8611111111111125</v>
      </c>
      <c r="AE15" s="3">
        <f>'1 Kitir '!$AH$25</f>
        <v>9.1712962962962976</v>
      </c>
      <c r="AF15" s="8"/>
      <c r="AG15" s="8"/>
      <c r="AH15" s="2">
        <v>12</v>
      </c>
      <c r="AI15" s="3">
        <f>'1 Kitir '!AQ14</f>
        <v>42.233333333333334</v>
      </c>
      <c r="AJ15" s="3">
        <f>'1 Kitir '!$AR$22</f>
        <v>44.661274341216121</v>
      </c>
      <c r="AK15" s="3">
        <f>'1 Kitir '!$AR$23</f>
        <v>35.887614547672747</v>
      </c>
      <c r="AL15" s="3">
        <f>'1 Kitir '!$AR$24</f>
        <v>40.274444444444434</v>
      </c>
      <c r="AM15" s="3">
        <f>'1 Kitir '!$AR$25</f>
        <v>46.986851851851846</v>
      </c>
      <c r="AN15" s="3">
        <f>'1 Kitir '!$AR$26</f>
        <v>47.00699770801242</v>
      </c>
      <c r="AR15" s="8">
        <f t="shared" si="0"/>
        <v>117.76666666666667</v>
      </c>
    </row>
    <row r="16" spans="2:44" x14ac:dyDescent="0.35">
      <c r="B16" s="2">
        <v>13</v>
      </c>
      <c r="C16" s="3">
        <f>'1 Kitir '!C15</f>
        <v>40.766666666666666</v>
      </c>
      <c r="D16" s="3">
        <f>'1 Kitir '!$D$22</f>
        <v>35.792561356758171</v>
      </c>
      <c r="E16" s="3">
        <f>'1 Kitir '!$D$23</f>
        <v>17.765216421019609</v>
      </c>
      <c r="F16" s="3">
        <f>'1 Kitir '!$D$24</f>
        <v>26.77888888888889</v>
      </c>
      <c r="G16" s="3">
        <f>'1 Kitir '!$D$25</f>
        <v>31.24203703703704</v>
      </c>
      <c r="H16" s="8">
        <f>'1 Kitir '!$D$26</f>
        <v>31.255432222275157</v>
      </c>
      <c r="J16" s="2">
        <v>13</v>
      </c>
      <c r="K16" s="3">
        <f>'1 Kitir '!M15</f>
        <v>20.066666666666698</v>
      </c>
      <c r="L16" s="3">
        <f>'1 Kitir '!$N$22</f>
        <v>26.675428206985409</v>
      </c>
      <c r="M16" s="3">
        <f>'1 Kitir '!$N$23</f>
        <v>17.204127348570154</v>
      </c>
      <c r="N16" s="3">
        <f>'1 Kitir '!$N$24</f>
        <v>21.939777777777781</v>
      </c>
      <c r="O16" s="3">
        <f>'1 Kitir '!$N$25</f>
        <v>25.596407407407412</v>
      </c>
      <c r="Q16" s="8"/>
      <c r="R16" s="2">
        <v>13</v>
      </c>
      <c r="S16" s="3">
        <f>'1 Kitir '!W15</f>
        <v>23.666666666666668</v>
      </c>
      <c r="T16" s="3">
        <f>'1 Kitir '!$X$22</f>
        <v>25.032128620576064</v>
      </c>
      <c r="U16" s="3">
        <f>'1 Kitir '!$X$23</f>
        <v>19.11009360164616</v>
      </c>
      <c r="V16" s="3">
        <f>'1 Kitir '!$X$24</f>
        <v>22.071111111111112</v>
      </c>
      <c r="W16" s="3">
        <f>'1 Kitir '!$X$25</f>
        <v>25.749629629629631</v>
      </c>
      <c r="Y16" s="8"/>
      <c r="Z16" s="2">
        <v>13</v>
      </c>
      <c r="AA16" s="3">
        <f>'1 Kitir '!AG15</f>
        <v>6.7833333333333332</v>
      </c>
      <c r="AB16" s="3">
        <f>'1 Kitir '!$AH$22</f>
        <v>10.829229773675284</v>
      </c>
      <c r="AC16" s="3">
        <f>'1 Kitir '!$AH$23</f>
        <v>4.8929924485469414</v>
      </c>
      <c r="AD16" s="3">
        <f>'1 Kitir '!$AH$24</f>
        <v>7.8611111111111125</v>
      </c>
      <c r="AE16" s="3">
        <f>'1 Kitir '!$AH$25</f>
        <v>9.1712962962962976</v>
      </c>
      <c r="AF16" s="8"/>
      <c r="AG16" s="8"/>
      <c r="AH16" s="2">
        <v>13</v>
      </c>
      <c r="AI16" s="3">
        <f>'1 Kitir '!AQ15</f>
        <v>41.6</v>
      </c>
      <c r="AJ16" s="3">
        <f>'1 Kitir '!$AR$22</f>
        <v>44.661274341216121</v>
      </c>
      <c r="AK16" s="3">
        <f>'1 Kitir '!$AR$23</f>
        <v>35.887614547672747</v>
      </c>
      <c r="AL16" s="3">
        <f>'1 Kitir '!$AR$24</f>
        <v>40.274444444444434</v>
      </c>
      <c r="AM16" s="3">
        <f>'1 Kitir '!$AR$25</f>
        <v>46.986851851851846</v>
      </c>
      <c r="AN16" s="3">
        <f>'1 Kitir '!$AR$26</f>
        <v>47.00699770801242</v>
      </c>
      <c r="AR16" s="8">
        <f t="shared" si="0"/>
        <v>132.88333333333335</v>
      </c>
    </row>
    <row r="17" spans="2:45" x14ac:dyDescent="0.35">
      <c r="B17" s="2">
        <v>14</v>
      </c>
      <c r="C17" s="3">
        <f>'1 Kitir '!C16</f>
        <v>22.1</v>
      </c>
      <c r="D17" s="3">
        <f>'1 Kitir '!$D$22</f>
        <v>35.792561356758171</v>
      </c>
      <c r="E17" s="3">
        <f>'1 Kitir '!$D$23</f>
        <v>17.765216421019609</v>
      </c>
      <c r="F17" s="3">
        <f>'1 Kitir '!$D$24</f>
        <v>26.77888888888889</v>
      </c>
      <c r="G17" s="3">
        <f>'1 Kitir '!$D$25</f>
        <v>31.24203703703704</v>
      </c>
      <c r="H17" s="8">
        <f>'1 Kitir '!$D$26</f>
        <v>31.255432222275157</v>
      </c>
      <c r="J17" s="2">
        <v>14</v>
      </c>
      <c r="K17" s="3">
        <f>'1 Kitir '!M16</f>
        <v>19.149999999999999</v>
      </c>
      <c r="L17" s="3">
        <f>'1 Kitir '!$N$22</f>
        <v>26.675428206985409</v>
      </c>
      <c r="M17" s="3">
        <f>'1 Kitir '!$N$23</f>
        <v>17.204127348570154</v>
      </c>
      <c r="N17" s="3">
        <f>'1 Kitir '!$N$24</f>
        <v>21.939777777777781</v>
      </c>
      <c r="O17" s="3">
        <f>'1 Kitir '!$N$25</f>
        <v>25.596407407407412</v>
      </c>
      <c r="Q17" s="8"/>
      <c r="R17" s="2">
        <v>14</v>
      </c>
      <c r="S17" s="3">
        <f>'1 Kitir '!W16</f>
        <v>21.7</v>
      </c>
      <c r="T17" s="3">
        <f>'1 Kitir '!$X$22</f>
        <v>25.032128620576064</v>
      </c>
      <c r="U17" s="3">
        <f>'1 Kitir '!$X$23</f>
        <v>19.11009360164616</v>
      </c>
      <c r="V17" s="3">
        <f>'1 Kitir '!$X$24</f>
        <v>22.071111111111112</v>
      </c>
      <c r="W17" s="3">
        <f>'1 Kitir '!$X$25</f>
        <v>25.749629629629631</v>
      </c>
      <c r="Y17" s="8"/>
      <c r="Z17" s="2">
        <v>14</v>
      </c>
      <c r="AA17" s="3">
        <f>'1 Kitir '!AG16</f>
        <v>6.1333333333333337</v>
      </c>
      <c r="AB17" s="3">
        <f>'1 Kitir '!$AH$22</f>
        <v>10.829229773675284</v>
      </c>
      <c r="AC17" s="3">
        <f>'1 Kitir '!$AH$23</f>
        <v>4.8929924485469414</v>
      </c>
      <c r="AD17" s="3">
        <f>'1 Kitir '!$AH$24</f>
        <v>7.8611111111111125</v>
      </c>
      <c r="AE17" s="3">
        <f>'1 Kitir '!$AH$25</f>
        <v>9.1712962962962976</v>
      </c>
      <c r="AF17" s="8"/>
      <c r="AG17" s="8"/>
      <c r="AH17" s="2">
        <v>14</v>
      </c>
      <c r="AI17" s="3">
        <f>'1 Kitir '!AQ16</f>
        <v>39.133333333333333</v>
      </c>
      <c r="AJ17" s="3">
        <f>'1 Kitir '!$AR$22</f>
        <v>44.661274341216121</v>
      </c>
      <c r="AK17" s="3">
        <f>'1 Kitir '!$AR$23</f>
        <v>35.887614547672747</v>
      </c>
      <c r="AL17" s="3">
        <f>'1 Kitir '!$AR$24</f>
        <v>40.274444444444434</v>
      </c>
      <c r="AM17" s="3">
        <f>'1 Kitir '!$AR$25</f>
        <v>46.986851851851846</v>
      </c>
      <c r="AN17" s="3">
        <f>'1 Kitir '!$AR$26</f>
        <v>47.00699770801242</v>
      </c>
      <c r="AO17" s="8">
        <f>SUM(C4:C18)+SUM(K4:K18)+SUM(S4:S18)+SUM(AA4:AA18)+SUM(AI4:AI18)</f>
        <v>1783.8799999999999</v>
      </c>
      <c r="AR17" s="8">
        <f t="shared" si="0"/>
        <v>108.21666666666667</v>
      </c>
    </row>
    <row r="18" spans="2:45" x14ac:dyDescent="0.35">
      <c r="B18" s="2">
        <v>15</v>
      </c>
      <c r="C18" s="3">
        <f>'1 Kitir '!C17</f>
        <v>23.25</v>
      </c>
      <c r="D18" s="3">
        <f>'1 Kitir '!$D$22</f>
        <v>35.792561356758171</v>
      </c>
      <c r="E18" s="3">
        <f>'1 Kitir '!$D$23</f>
        <v>17.765216421019609</v>
      </c>
      <c r="F18" s="3">
        <f>'1 Kitir '!$D$24</f>
        <v>26.77888888888889</v>
      </c>
      <c r="G18" s="3">
        <f>'1 Kitir '!$D$25</f>
        <v>31.24203703703704</v>
      </c>
      <c r="H18" s="8">
        <f>'1 Kitir '!$D$26</f>
        <v>31.255432222275157</v>
      </c>
      <c r="J18" s="2">
        <v>15</v>
      </c>
      <c r="K18" s="3">
        <f>'1 Kitir '!M17</f>
        <v>24.816666666666698</v>
      </c>
      <c r="L18" s="3">
        <f>'1 Kitir '!$N$22</f>
        <v>26.675428206985409</v>
      </c>
      <c r="M18" s="3">
        <f>'1 Kitir '!$N$23</f>
        <v>17.204127348570154</v>
      </c>
      <c r="N18" s="3">
        <f>'1 Kitir '!$N$24</f>
        <v>21.939777777777781</v>
      </c>
      <c r="O18" s="3">
        <f>'1 Kitir '!$N$25</f>
        <v>25.596407407407412</v>
      </c>
      <c r="R18" s="2">
        <v>15</v>
      </c>
      <c r="S18" s="3">
        <f>'1 Kitir '!W17</f>
        <v>21.683333333333334</v>
      </c>
      <c r="T18" s="3">
        <f>'1 Kitir '!$X$22</f>
        <v>25.032128620576064</v>
      </c>
      <c r="U18" s="3">
        <f>'1 Kitir '!$X$23</f>
        <v>19.11009360164616</v>
      </c>
      <c r="V18" s="3">
        <f>'1 Kitir '!$X$24</f>
        <v>22.071111111111112</v>
      </c>
      <c r="W18" s="3">
        <f>'1 Kitir '!$X$25</f>
        <v>25.749629629629631</v>
      </c>
      <c r="Z18" s="2">
        <v>15</v>
      </c>
      <c r="AA18" s="3">
        <f>'1 Kitir '!AG17</f>
        <v>9.25</v>
      </c>
      <c r="AB18" s="3">
        <f>'1 Kitir '!$AH$22</f>
        <v>10.829229773675284</v>
      </c>
      <c r="AC18" s="3">
        <f>'1 Kitir '!$AH$23</f>
        <v>4.8929924485469414</v>
      </c>
      <c r="AD18" s="3">
        <f>'1 Kitir '!$AH$24</f>
        <v>7.8611111111111125</v>
      </c>
      <c r="AE18" s="3">
        <f>'1 Kitir '!$AH$25</f>
        <v>9.1712962962962976</v>
      </c>
      <c r="AH18" s="2">
        <v>15</v>
      </c>
      <c r="AI18" s="3">
        <f>'1 Kitir '!AQ17</f>
        <v>40.43333333333333</v>
      </c>
      <c r="AJ18" s="3">
        <f>'1 Kitir '!$AR$22</f>
        <v>44.661274341216121</v>
      </c>
      <c r="AK18" s="3">
        <f>'1 Kitir '!$AR$23</f>
        <v>35.887614547672747</v>
      </c>
      <c r="AL18" s="3">
        <f>'1 Kitir '!$AR$24</f>
        <v>40.274444444444434</v>
      </c>
      <c r="AM18" s="3">
        <f>'1 Kitir '!$AR$25</f>
        <v>46.986851851851846</v>
      </c>
      <c r="AN18" s="3">
        <f>'1 Kitir '!$AR$26</f>
        <v>47.00699770801242</v>
      </c>
      <c r="AO18" s="49">
        <f>C19+K19+S19+AA19+AI19</f>
        <v>118.92533333333333</v>
      </c>
      <c r="AR18" s="8">
        <f t="shared" si="0"/>
        <v>119.43333333333337</v>
      </c>
    </row>
    <row r="19" spans="2:45" x14ac:dyDescent="0.35">
      <c r="B19" s="2" t="s">
        <v>60</v>
      </c>
      <c r="C19" s="3">
        <f>SUM(C4:C18)/15</f>
        <v>26.77888888888889</v>
      </c>
      <c r="D19" s="2"/>
      <c r="E19" s="2"/>
      <c r="F19" s="2"/>
      <c r="G19" s="3"/>
      <c r="J19" s="2" t="s">
        <v>60</v>
      </c>
      <c r="K19" s="3">
        <f>SUM(K4:K18)/15</f>
        <v>21.939777777777781</v>
      </c>
      <c r="L19" s="2"/>
      <c r="M19" s="2"/>
      <c r="N19" s="2"/>
      <c r="O19" s="2"/>
      <c r="R19" s="2" t="s">
        <v>60</v>
      </c>
      <c r="S19" s="3">
        <f>SUM(S4:S18)/15</f>
        <v>22.071111111111112</v>
      </c>
      <c r="T19" s="2"/>
      <c r="U19" s="2"/>
      <c r="V19" s="2"/>
      <c r="W19" s="2"/>
      <c r="Z19" s="2" t="s">
        <v>60</v>
      </c>
      <c r="AA19" s="3">
        <f>SUM(AA4:AA18)/15</f>
        <v>7.8611111111111125</v>
      </c>
      <c r="AB19" s="2"/>
      <c r="AC19" s="2"/>
      <c r="AD19" s="2"/>
      <c r="AE19" s="2"/>
      <c r="AH19" s="2" t="s">
        <v>60</v>
      </c>
      <c r="AI19" s="3">
        <f>SUM(AI4:AI18)/15</f>
        <v>40.274444444444434</v>
      </c>
      <c r="AJ19" s="2"/>
      <c r="AK19" s="2"/>
      <c r="AL19" s="2"/>
      <c r="AM19" s="2"/>
      <c r="AN19" s="2"/>
      <c r="AR19" s="8">
        <f>SUM(AR4:AR18)</f>
        <v>1783.88</v>
      </c>
      <c r="AS19" s="1">
        <f>AR19*3</f>
        <v>5351.64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29FF-A94D-4FC0-A5A2-6AB877C1DDFA}">
  <dimension ref="A2:O16"/>
  <sheetViews>
    <sheetView tabSelected="1" workbookViewId="0">
      <selection activeCell="D2" sqref="D2"/>
    </sheetView>
  </sheetViews>
  <sheetFormatPr defaultRowHeight="15.5" x14ac:dyDescent="0.35"/>
  <cols>
    <col min="1" max="1" width="13.6640625" bestFit="1" customWidth="1"/>
    <col min="2" max="2" width="9.25" bestFit="1" customWidth="1"/>
    <col min="5" max="5" width="8.1640625" bestFit="1" customWidth="1"/>
    <col min="6" max="6" width="31.08203125" bestFit="1" customWidth="1"/>
    <col min="10" max="10" width="12.4140625" bestFit="1" customWidth="1"/>
    <col min="15" max="15" width="9.9140625" bestFit="1" customWidth="1"/>
  </cols>
  <sheetData>
    <row r="2" spans="1:15" x14ac:dyDescent="0.35">
      <c r="B2" s="28"/>
      <c r="D2">
        <f>750/30</f>
        <v>25</v>
      </c>
      <c r="E2">
        <f>D2*30</f>
        <v>750</v>
      </c>
    </row>
    <row r="3" spans="1:15" x14ac:dyDescent="0.35">
      <c r="A3" s="2" t="s">
        <v>26</v>
      </c>
      <c r="B3" s="36">
        <f>(Grafik!C19+Grafik!K19+Grafik!S19+Grafik!AA19+Grafik!AI19)*60</f>
        <v>7135.5199999999995</v>
      </c>
      <c r="C3" s="2" t="s">
        <v>31</v>
      </c>
    </row>
    <row r="4" spans="1:15" x14ac:dyDescent="0.35">
      <c r="A4" s="2" t="s">
        <v>27</v>
      </c>
      <c r="B4" s="2">
        <v>24</v>
      </c>
      <c r="C4" s="2" t="s">
        <v>32</v>
      </c>
    </row>
    <row r="5" spans="1:15" x14ac:dyDescent="0.35">
      <c r="A5" s="2" t="s">
        <v>28</v>
      </c>
      <c r="B5" s="2">
        <f>E2*B4</f>
        <v>18000</v>
      </c>
      <c r="C5" s="2" t="s">
        <v>33</v>
      </c>
    </row>
    <row r="6" spans="1:15" x14ac:dyDescent="0.35">
      <c r="A6" s="2" t="s">
        <v>29</v>
      </c>
      <c r="B6" s="2">
        <v>6</v>
      </c>
      <c r="C6" s="2" t="s">
        <v>34</v>
      </c>
    </row>
    <row r="7" spans="1:15" x14ac:dyDescent="0.35">
      <c r="A7" s="2" t="s">
        <v>30</v>
      </c>
      <c r="B7" s="2">
        <v>75</v>
      </c>
      <c r="C7" s="2" t="s">
        <v>35</v>
      </c>
    </row>
    <row r="8" spans="1:15" x14ac:dyDescent="0.35">
      <c r="E8" s="41" t="s">
        <v>36</v>
      </c>
      <c r="L8" s="37"/>
      <c r="O8" s="38">
        <f>(560/750)*100%</f>
        <v>0.7466666666666667</v>
      </c>
    </row>
    <row r="9" spans="1:15" x14ac:dyDescent="0.35">
      <c r="E9" s="41" t="s">
        <v>29</v>
      </c>
      <c r="F9" s="41" t="s">
        <v>37</v>
      </c>
    </row>
    <row r="11" spans="1:15" x14ac:dyDescent="0.35">
      <c r="B11">
        <f>B12/60</f>
        <v>270</v>
      </c>
    </row>
    <row r="12" spans="1:15" x14ac:dyDescent="0.35">
      <c r="A12" s="34" t="s">
        <v>38</v>
      </c>
      <c r="B12" s="34">
        <f>(B6*3600)*(B7/100)</f>
        <v>16200</v>
      </c>
      <c r="C12" s="34" t="s">
        <v>31</v>
      </c>
      <c r="F12" s="29"/>
      <c r="G12" s="29"/>
    </row>
    <row r="13" spans="1:15" x14ac:dyDescent="0.35">
      <c r="A13" s="34" t="s">
        <v>39</v>
      </c>
      <c r="B13" s="34">
        <f>B5/B4</f>
        <v>750</v>
      </c>
      <c r="C13" s="34" t="s">
        <v>32</v>
      </c>
    </row>
    <row r="14" spans="1:15" x14ac:dyDescent="0.35">
      <c r="A14" s="34" t="s">
        <v>40</v>
      </c>
      <c r="B14" s="34">
        <f>B12/B13</f>
        <v>21.6</v>
      </c>
      <c r="C14" s="34" t="s">
        <v>31</v>
      </c>
    </row>
    <row r="15" spans="1:15" x14ac:dyDescent="0.35">
      <c r="F15" s="29"/>
      <c r="G15" s="29"/>
    </row>
    <row r="16" spans="1:15" x14ac:dyDescent="0.35">
      <c r="E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Kitir </vt:lpstr>
      <vt:lpstr>allowance</vt:lpstr>
      <vt:lpstr>Rekap</vt:lpstr>
      <vt:lpstr>Grafik</vt:lpstr>
      <vt:lpstr>Takt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Nitro</dc:creator>
  <cp:lastModifiedBy>Amru Nail</cp:lastModifiedBy>
  <cp:lastPrinted>2022-10-28T14:17:31Z</cp:lastPrinted>
  <dcterms:created xsi:type="dcterms:W3CDTF">2022-10-28T14:17:20Z</dcterms:created>
  <dcterms:modified xsi:type="dcterms:W3CDTF">2024-05-24T03:42:33Z</dcterms:modified>
</cp:coreProperties>
</file>